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Mis Documentos\D Financieras\1 Temas\2 Temas Nuevos\II Parte Operaciones Corrientes\"/>
    </mc:Choice>
  </mc:AlternateContent>
  <bookViews>
    <workbookView xWindow="240" yWindow="120" windowWidth="18735" windowHeight="8385" tabRatio="746" activeTab="1"/>
  </bookViews>
  <sheets>
    <sheet name="Caso 1" sheetId="1" r:id="rId1"/>
    <sheet name="Caso 2" sheetId="2" r:id="rId2"/>
    <sheet name="Caso 3 Zapateria I PM y Minoris" sheetId="3" r:id="rId3"/>
    <sheet name="Caso 3 Zapateria II Marge.Br" sheetId="4" r:id="rId4"/>
    <sheet name="Caso 3 Zapateria y III Compara" sheetId="5" r:id="rId5"/>
  </sheets>
  <calcPr calcId="152511"/>
</workbook>
</file>

<file path=xl/calcChain.xml><?xml version="1.0" encoding="utf-8"?>
<calcChain xmlns="http://schemas.openxmlformats.org/spreadsheetml/2006/main">
  <c r="F4" i="5" l="1"/>
  <c r="E4" i="5"/>
  <c r="D4" i="5"/>
  <c r="C4" i="5"/>
  <c r="G4" i="5" s="1"/>
  <c r="M6" i="4"/>
  <c r="O12" i="4"/>
  <c r="N12" i="4"/>
  <c r="M12" i="4"/>
  <c r="L12" i="4"/>
  <c r="H5" i="4"/>
  <c r="G5" i="4"/>
  <c r="G9" i="4" s="1"/>
  <c r="G10" i="4" s="1"/>
  <c r="G11" i="4" s="1"/>
  <c r="F5" i="4"/>
  <c r="F9" i="4" s="1"/>
  <c r="F10" i="4" s="1"/>
  <c r="F11" i="4" s="1"/>
  <c r="X9" i="3"/>
  <c r="U9" i="3"/>
  <c r="R9" i="3"/>
  <c r="O9" i="3"/>
  <c r="M7" i="4"/>
  <c r="L7" i="4"/>
  <c r="O6" i="4"/>
  <c r="N6" i="4"/>
  <c r="L6" i="4"/>
  <c r="O5" i="4"/>
  <c r="N5" i="4"/>
  <c r="N7" i="4" s="1"/>
  <c r="M5" i="4"/>
  <c r="D9" i="4"/>
  <c r="D10" i="4" s="1"/>
  <c r="D11" i="4" s="1"/>
  <c r="E9" i="4"/>
  <c r="E10" i="4" s="1"/>
  <c r="E11" i="4" s="1"/>
  <c r="H9" i="4"/>
  <c r="H10" i="4" s="1"/>
  <c r="H11" i="4" s="1"/>
  <c r="C9" i="4"/>
  <c r="C10" i="4" s="1"/>
  <c r="C11" i="4" s="1"/>
  <c r="C16" i="4" s="1"/>
  <c r="L10" i="4" s="1"/>
  <c r="L11" i="4" s="1"/>
  <c r="V7" i="3"/>
  <c r="S7" i="3"/>
  <c r="P7" i="3"/>
  <c r="M7" i="3"/>
  <c r="H7" i="3"/>
  <c r="G7" i="3"/>
  <c r="H18" i="3"/>
  <c r="I18" i="3"/>
  <c r="J18" i="3"/>
  <c r="H19" i="3"/>
  <c r="I19" i="3"/>
  <c r="J19" i="3"/>
  <c r="G19" i="3"/>
  <c r="G18" i="3"/>
  <c r="I20" i="2"/>
  <c r="I15" i="2"/>
  <c r="I14" i="2"/>
  <c r="G7" i="2"/>
  <c r="H7" i="2" s="1"/>
  <c r="G5" i="2"/>
  <c r="G9" i="2" s="1"/>
  <c r="H9" i="2" s="1"/>
  <c r="I18" i="2" s="1"/>
  <c r="I19" i="2" s="1"/>
  <c r="I21" i="2" s="1"/>
  <c r="G9" i="1"/>
  <c r="F6" i="1"/>
  <c r="G6" i="1" s="1"/>
  <c r="F5" i="1"/>
  <c r="G5" i="1" s="1"/>
  <c r="G27" i="3" l="1"/>
  <c r="G28" i="3" s="1"/>
  <c r="N5" i="3" s="1"/>
  <c r="I16" i="2"/>
  <c r="I22" i="2" s="1"/>
  <c r="O7" i="4"/>
  <c r="H5" i="2"/>
  <c r="I27" i="3"/>
  <c r="I28" i="3" s="1"/>
  <c r="T5" i="3" s="1"/>
  <c r="T6" i="3" s="1"/>
  <c r="U6" i="3" s="1"/>
  <c r="N6" i="3"/>
  <c r="O6" i="3" s="1"/>
  <c r="O5" i="3"/>
  <c r="G7" i="1"/>
  <c r="G10" i="1" s="1"/>
  <c r="H27" i="3"/>
  <c r="H28" i="3" s="1"/>
  <c r="Q5" i="3" s="1"/>
  <c r="Q6" i="3" s="1"/>
  <c r="R6" i="3" s="1"/>
  <c r="F7" i="1"/>
  <c r="J27" i="3"/>
  <c r="J28" i="3" s="1"/>
  <c r="W5" i="3" s="1"/>
  <c r="W6" i="3" s="1"/>
  <c r="X6" i="3" s="1"/>
  <c r="L13" i="4"/>
  <c r="L14" i="4" s="1"/>
  <c r="C6" i="5" s="1"/>
  <c r="F19" i="4"/>
  <c r="O10" i="4" s="1"/>
  <c r="E18" i="4"/>
  <c r="N10" i="4" s="1"/>
  <c r="D17" i="4"/>
  <c r="M10" i="4" s="1"/>
  <c r="U5" i="3"/>
  <c r="U7" i="3" s="1"/>
  <c r="U10" i="3" s="1"/>
  <c r="E14" i="1" l="1"/>
  <c r="R5" i="3"/>
  <c r="R7" i="3" s="1"/>
  <c r="R10" i="3" s="1"/>
  <c r="G11" i="1"/>
  <c r="F13" i="1" s="1"/>
  <c r="E12" i="1"/>
  <c r="X5" i="3"/>
  <c r="X7" i="3" s="1"/>
  <c r="X10" i="3" s="1"/>
  <c r="C9" i="5"/>
  <c r="C10" i="5" s="1"/>
  <c r="O7" i="3"/>
  <c r="M11" i="4"/>
  <c r="M13" i="4"/>
  <c r="M14" i="4" s="1"/>
  <c r="D6" i="5" s="1"/>
  <c r="D9" i="5" s="1"/>
  <c r="D10" i="5" s="1"/>
  <c r="N11" i="4"/>
  <c r="N13" i="4"/>
  <c r="N14" i="4" s="1"/>
  <c r="E6" i="5" s="1"/>
  <c r="E9" i="5" s="1"/>
  <c r="E10" i="5" s="1"/>
  <c r="O11" i="4"/>
  <c r="O13" i="4"/>
  <c r="O14" i="4" s="1"/>
  <c r="F6" i="5" s="1"/>
  <c r="F9" i="5" s="1"/>
  <c r="F10" i="5" s="1"/>
  <c r="X12" i="3"/>
  <c r="X14" i="3" s="1"/>
  <c r="F5" i="5" s="1"/>
  <c r="U12" i="3"/>
  <c r="U14" i="3" s="1"/>
  <c r="E5" i="5" s="1"/>
  <c r="G6" i="5" l="1"/>
  <c r="G9" i="5" s="1"/>
  <c r="G10" i="5" s="1"/>
  <c r="F11" i="5"/>
  <c r="F12" i="5" s="1"/>
  <c r="F7" i="5"/>
  <c r="F8" i="5" s="1"/>
  <c r="R12" i="3"/>
  <c r="R14" i="3" s="1"/>
  <c r="D5" i="5" s="1"/>
  <c r="E7" i="5"/>
  <c r="E8" i="5" s="1"/>
  <c r="E11" i="5"/>
  <c r="E12" i="5" s="1"/>
  <c r="O10" i="3"/>
  <c r="O12" i="3"/>
  <c r="O14" i="3" l="1"/>
  <c r="C5" i="5" s="1"/>
  <c r="D11" i="5"/>
  <c r="D12" i="5" s="1"/>
  <c r="D7" i="5"/>
  <c r="D8" i="5" s="1"/>
  <c r="C11" i="5"/>
  <c r="C12" i="5" s="1"/>
  <c r="C7" i="5"/>
  <c r="C8" i="5" s="1"/>
  <c r="G5" i="5"/>
  <c r="G11" i="5" l="1"/>
  <c r="G12" i="5" s="1"/>
  <c r="G7" i="5"/>
  <c r="G8" i="5" s="1"/>
</calcChain>
</file>

<file path=xl/sharedStrings.xml><?xml version="1.0" encoding="utf-8"?>
<sst xmlns="http://schemas.openxmlformats.org/spreadsheetml/2006/main" count="150" uniqueCount="120">
  <si>
    <t>Inventario Inicial (N)</t>
  </si>
  <si>
    <t>Valores a Precio de Coste</t>
  </si>
  <si>
    <t>Margen Comercial Bruto</t>
  </si>
  <si>
    <t>Compras Netas (N)</t>
  </si>
  <si>
    <t>Valor de las Compras (PVP)</t>
  </si>
  <si>
    <t>Información Inicial</t>
  </si>
  <si>
    <t>Ventas Netas (N)</t>
  </si>
  <si>
    <t>Valores a Precio de Venta</t>
  </si>
  <si>
    <t xml:space="preserve"> + Compras Netas (N)</t>
  </si>
  <si>
    <t xml:space="preserve"> = Mercancía Disponible para la Venta</t>
  </si>
  <si>
    <t xml:space="preserve"> - Ventas Netas (N)</t>
  </si>
  <si>
    <t xml:space="preserve"> = Inventario Final a PVP</t>
  </si>
  <si>
    <t xml:space="preserve"> Porcentaje sobre el Coste</t>
  </si>
  <si>
    <t>Inventario Final al Coste</t>
  </si>
  <si>
    <t>Valor del Inventario Final por el Método Minorista.</t>
  </si>
  <si>
    <t>Cálculo del Margen Bruto</t>
  </si>
  <si>
    <t>(1) Ventas de Mercaderías</t>
  </si>
  <si>
    <t>(2) Devoluciones de Ventas</t>
  </si>
  <si>
    <t>(3) Rappels por Ventas</t>
  </si>
  <si>
    <t>(4) Descuentos /Vtas p.p</t>
  </si>
  <si>
    <t>(5) Existencias  Iniciales Merc.</t>
  </si>
  <si>
    <t>(6) Compras de Mercaderías</t>
  </si>
  <si>
    <t>(7) Devoluciones de Compras</t>
  </si>
  <si>
    <t>(8) Rappels por Compras</t>
  </si>
  <si>
    <t>(9) Descuentos /Compras p.p</t>
  </si>
  <si>
    <t>(10) Existencias  Finales Merc.</t>
  </si>
  <si>
    <t xml:space="preserve"> + Ventas Netas (1-2-3-4)</t>
  </si>
  <si>
    <t>Importe Ejerc. 0X</t>
  </si>
  <si>
    <t xml:space="preserve"> - Coste de Ventas (5+6-7-8-9-10)</t>
  </si>
  <si>
    <t xml:space="preserve"> = Margen Bruto</t>
  </si>
  <si>
    <t xml:space="preserve"> % Ejerc. 0X</t>
  </si>
  <si>
    <t>Exist. Iniciales</t>
  </si>
  <si>
    <t>Valor del Inventario Final por el Método Margen Bruto.</t>
  </si>
  <si>
    <t>Ejercicio 0Y</t>
  </si>
  <si>
    <t xml:space="preserve"> + Compras Netas</t>
  </si>
  <si>
    <t>Datos Contables Disponibles. Ejercicio 0X</t>
  </si>
  <si>
    <t>Datos Contables Disponibles. Ejercicio 0Y</t>
  </si>
  <si>
    <t xml:space="preserve"> = Mercancía Disponible para la venta a precio de coste</t>
  </si>
  <si>
    <t>Margen Bruto Estimado</t>
  </si>
  <si>
    <t>Coste de Ventas en %</t>
  </si>
  <si>
    <t>Coste de Ventas</t>
  </si>
  <si>
    <t>Ventas Netas</t>
  </si>
  <si>
    <t>Inventario Final (Mercancía disponible para la vta - Coste de Ventas)</t>
  </si>
  <si>
    <t>(5) Compras de Mercaderías</t>
  </si>
  <si>
    <t>(6) Devoluciones de Compras</t>
  </si>
  <si>
    <t>(7) Rappels por Compras</t>
  </si>
  <si>
    <t>(8) Descuentos /Compras p.p</t>
  </si>
  <si>
    <t>Ejercicio</t>
  </si>
  <si>
    <t>Tiendas</t>
  </si>
  <si>
    <t>Información Contable Facilitada</t>
  </si>
  <si>
    <t>Grupo 1</t>
  </si>
  <si>
    <t>Grupo 2</t>
  </si>
  <si>
    <t>Gastos Comerciales (*)</t>
  </si>
  <si>
    <t>Margen Comercial Medio</t>
  </si>
  <si>
    <t>Inventario de Mecaderías (en Uds) por Establecimiento</t>
  </si>
  <si>
    <t>Tienda 1</t>
  </si>
  <si>
    <t>Tienda 2</t>
  </si>
  <si>
    <t>Tienda 3</t>
  </si>
  <si>
    <t>Tienda 4</t>
  </si>
  <si>
    <t>Tienda 5</t>
  </si>
  <si>
    <t>Tienda 6</t>
  </si>
  <si>
    <t>Tienda 7</t>
  </si>
  <si>
    <t>Tienda 8</t>
  </si>
  <si>
    <t>Total Grupo 1</t>
  </si>
  <si>
    <t>Total Grupo 2</t>
  </si>
  <si>
    <t xml:space="preserve"> = Margen Comercial Neto</t>
  </si>
  <si>
    <t>Determinación del Margen Comercial Neto Promedio por Año</t>
  </si>
  <si>
    <r>
      <t xml:space="preserve"> = ((1+MN1) x Total Uds Grupo 1) + ((1+MN21) x Total Uds Grupo 2)) </t>
    </r>
    <r>
      <rPr>
        <b/>
        <sz val="12"/>
        <color rgb="FFFF0000"/>
        <rFont val="Times New Roman"/>
        <family val="1"/>
      </rPr>
      <t>/ (</t>
    </r>
    <r>
      <rPr>
        <b/>
        <sz val="10"/>
        <color rgb="FFFF0000"/>
        <rFont val="Times New Roman"/>
        <family val="1"/>
      </rPr>
      <t>Total Uds Grupo 1 + Total Uds Grupo 2)</t>
    </r>
  </si>
  <si>
    <t>Ejemplo Año 200W</t>
  </si>
  <si>
    <t xml:space="preserve"> [((1+0.55)*7.617 Uds)+((1+0.2)*1.115 Uds)]</t>
  </si>
  <si>
    <t>(7.617 Uds+ 1.115 Uds)</t>
  </si>
  <si>
    <t>Estimación del Valor de las Existencias Finales por el Método Minorista</t>
  </si>
  <si>
    <t>Precio de Coste</t>
  </si>
  <si>
    <t>MNC</t>
  </si>
  <si>
    <t>Precio de Venta</t>
  </si>
  <si>
    <t xml:space="preserve"> = (a) Mercancía Disponible para la Venta</t>
  </si>
  <si>
    <t xml:space="preserve"> - (b) Ventas Netas (N)</t>
  </si>
  <si>
    <t xml:space="preserve"> = (c) Inventario Final a PVP (a)-(b)</t>
  </si>
  <si>
    <t xml:space="preserve"> (d)  % sobre el Coste</t>
  </si>
  <si>
    <t xml:space="preserve"> (a) al Coste / (a) a PV</t>
  </si>
  <si>
    <t>o Minorista (c) x (d)</t>
  </si>
  <si>
    <t xml:space="preserve"> - Existencias Iniciales</t>
  </si>
  <si>
    <t xml:space="preserve"> - Compras Netas</t>
  </si>
  <si>
    <t xml:space="preserve"> + Existencias Finales</t>
  </si>
  <si>
    <t xml:space="preserve"> = Marg. Bruto % (/vtas)</t>
  </si>
  <si>
    <t xml:space="preserve"> = Consumo %</t>
  </si>
  <si>
    <t>Consumos o Coste de Ventas Medios para Aplicar a Cada Año</t>
  </si>
  <si>
    <t>Ejercicios</t>
  </si>
  <si>
    <t xml:space="preserve"> 01/02/03</t>
  </si>
  <si>
    <t>Valor de las Existencias Finales. Método Utilidad Bruta o Margen Bruto</t>
  </si>
  <si>
    <t xml:space="preserve"> (a) Inventario Inicial</t>
  </si>
  <si>
    <t xml:space="preserve"> (b) Compras Netas</t>
  </si>
  <si>
    <t xml:space="preserve"> (e) Consumo en %</t>
  </si>
  <si>
    <t xml:space="preserve"> (f) Ventas Netas</t>
  </si>
  <si>
    <t xml:space="preserve"> (g) Consumo = (e)x(f)</t>
  </si>
  <si>
    <t>Inventario Final</t>
  </si>
  <si>
    <t>Total Tienda</t>
  </si>
  <si>
    <t>201X</t>
  </si>
  <si>
    <t>202X</t>
  </si>
  <si>
    <t>203X</t>
  </si>
  <si>
    <t>204X</t>
  </si>
  <si>
    <t xml:space="preserve"> 98/99/00</t>
  </si>
  <si>
    <t xml:space="preserve"> 99/00/01</t>
  </si>
  <si>
    <t xml:space="preserve"> 00/01/02</t>
  </si>
  <si>
    <t xml:space="preserve"> = (c) Mercancía Disponible para la Venta (c) =(a+b)</t>
  </si>
  <si>
    <t>Compras Netas</t>
  </si>
  <si>
    <t>Exist. Final. PMP</t>
  </si>
  <si>
    <t xml:space="preserve">Datos Contables de Zapaterias "M" </t>
  </si>
  <si>
    <t>Histórico de Pérdidas y Ganancias Análitica (1998/2003)</t>
  </si>
  <si>
    <t>CMP</t>
  </si>
  <si>
    <t>Minorista</t>
  </si>
  <si>
    <t>Margen Bruto</t>
  </si>
  <si>
    <t>Total</t>
  </si>
  <si>
    <r>
      <t>CMP vs Minorista</t>
    </r>
    <r>
      <rPr>
        <sz val="8"/>
        <color theme="1"/>
        <rFont val="Calibri"/>
        <family val="2"/>
        <scheme val="minor"/>
      </rPr>
      <t xml:space="preserve"> %/CMP</t>
    </r>
  </si>
  <si>
    <r>
      <t>CMP vs Marg.B</t>
    </r>
    <r>
      <rPr>
        <sz val="8"/>
        <color theme="1"/>
        <rFont val="Calibri"/>
        <family val="2"/>
        <scheme val="minor"/>
      </rPr>
      <t xml:space="preserve"> %/CMP</t>
    </r>
  </si>
  <si>
    <r>
      <t>Minorista vs Marg.B</t>
    </r>
    <r>
      <rPr>
        <sz val="8"/>
        <color theme="1"/>
        <rFont val="Calibri"/>
        <family val="2"/>
        <scheme val="minor"/>
      </rPr>
      <t xml:space="preserve"> %/Minor</t>
    </r>
  </si>
  <si>
    <t>Comparativa: Métodos de Valoración de Existencias 2001/2004</t>
  </si>
  <si>
    <t>Invonvenientes</t>
  </si>
  <si>
    <t>Marg. Bruto</t>
  </si>
  <si>
    <t>Ventajas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</si>
</sst>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%"/>
    <numFmt numFmtId="165" formatCode="#,##0\ &quot;Uds&quot;"/>
    <numFmt numFmtId="166" formatCode="_-* #,##0\ [$€-C0A]_-;\-* #,##0\ [$€-C0A]_-;_-* &quot;-&quot;??\ [$€-C0A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6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166" fontId="0" fillId="0" borderId="0" xfId="0"/>
    <xf numFmtId="166" fontId="0" fillId="0" borderId="0" xfId="0" applyAlignment="1">
      <alignment horizontal="center"/>
    </xf>
    <xf numFmtId="166" fontId="0" fillId="0" borderId="0" xfId="0" applyNumberFormat="1"/>
    <xf numFmtId="166" fontId="0" fillId="0" borderId="0" xfId="0" applyAlignment="1">
      <alignment horizontal="center"/>
    </xf>
    <xf numFmtId="166" fontId="0" fillId="0" borderId="5" xfId="0" applyBorder="1"/>
    <xf numFmtId="166" fontId="0" fillId="0" borderId="0" xfId="0" applyNumberFormat="1" applyBorder="1"/>
    <xf numFmtId="166" fontId="0" fillId="0" borderId="6" xfId="0" applyBorder="1"/>
    <xf numFmtId="166" fontId="0" fillId="0" borderId="0" xfId="0" applyBorder="1"/>
    <xf numFmtId="166" fontId="0" fillId="0" borderId="6" xfId="0" applyNumberFormat="1" applyBorder="1"/>
    <xf numFmtId="166" fontId="4" fillId="0" borderId="5" xfId="0" applyFont="1" applyBorder="1"/>
    <xf numFmtId="166" fontId="0" fillId="0" borderId="7" xfId="0" applyBorder="1"/>
    <xf numFmtId="166" fontId="0" fillId="0" borderId="8" xfId="0" applyBorder="1"/>
    <xf numFmtId="166" fontId="0" fillId="0" borderId="9" xfId="0" applyNumberFormat="1" applyBorder="1"/>
    <xf numFmtId="166" fontId="0" fillId="0" borderId="10" xfId="0" applyNumberFormat="1" applyBorder="1"/>
    <xf numFmtId="10" fontId="0" fillId="0" borderId="0" xfId="0" applyNumberFormat="1"/>
    <xf numFmtId="166" fontId="0" fillId="0" borderId="2" xfId="0" applyBorder="1"/>
    <xf numFmtId="166" fontId="0" fillId="0" borderId="3" xfId="0" applyNumberFormat="1" applyBorder="1"/>
    <xf numFmtId="166" fontId="5" fillId="0" borderId="4" xfId="0" applyNumberFormat="1" applyFont="1" applyBorder="1"/>
    <xf numFmtId="166" fontId="5" fillId="0" borderId="15" xfId="0" applyNumberFormat="1" applyFont="1" applyBorder="1"/>
    <xf numFmtId="166" fontId="0" fillId="0" borderId="12" xfId="0" applyBorder="1"/>
    <xf numFmtId="166" fontId="0" fillId="0" borderId="14" xfId="0" applyBorder="1"/>
    <xf numFmtId="166" fontId="0" fillId="0" borderId="1" xfId="0" applyBorder="1"/>
    <xf numFmtId="166" fontId="0" fillId="0" borderId="3" xfId="0" applyBorder="1"/>
    <xf numFmtId="166" fontId="0" fillId="0" borderId="17" xfId="0" applyNumberFormat="1" applyBorder="1"/>
    <xf numFmtId="166" fontId="5" fillId="0" borderId="9" xfId="0" applyNumberFormat="1" applyFont="1" applyBorder="1"/>
    <xf numFmtId="166" fontId="0" fillId="0" borderId="13" xfId="0" applyBorder="1"/>
    <xf numFmtId="166" fontId="0" fillId="0" borderId="13" xfId="0" applyBorder="1" applyAlignment="1">
      <alignment horizontal="center"/>
    </xf>
    <xf numFmtId="166" fontId="0" fillId="0" borderId="4" xfId="0" applyBorder="1"/>
    <xf numFmtId="166" fontId="0" fillId="0" borderId="9" xfId="0" applyBorder="1"/>
    <xf numFmtId="166" fontId="0" fillId="0" borderId="4" xfId="0" applyNumberFormat="1" applyBorder="1"/>
    <xf numFmtId="10" fontId="0" fillId="0" borderId="18" xfId="1" applyNumberFormat="1" applyFont="1" applyBorder="1" applyAlignment="1">
      <alignment horizontal="center" vertical="center" wrapText="1"/>
    </xf>
    <xf numFmtId="166" fontId="0" fillId="0" borderId="1" xfId="0" applyNumberFormat="1" applyBorder="1"/>
    <xf numFmtId="166" fontId="0" fillId="0" borderId="0" xfId="0" applyAlignment="1">
      <alignment horizontal="center"/>
    </xf>
    <xf numFmtId="166" fontId="0" fillId="0" borderId="12" xfId="0" applyNumberFormat="1" applyBorder="1"/>
    <xf numFmtId="166" fontId="0" fillId="0" borderId="13" xfId="0" applyNumberFormat="1" applyBorder="1"/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66" fontId="5" fillId="0" borderId="13" xfId="0" applyNumberFormat="1" applyFont="1" applyBorder="1"/>
    <xf numFmtId="166" fontId="3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5" fontId="0" fillId="0" borderId="0" xfId="0" applyNumberFormat="1"/>
    <xf numFmtId="165" fontId="0" fillId="0" borderId="10" xfId="0" applyNumberFormat="1" applyBorder="1"/>
    <xf numFmtId="164" fontId="0" fillId="0" borderId="10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6" fontId="5" fillId="0" borderId="0" xfId="0" applyFont="1"/>
    <xf numFmtId="10" fontId="5" fillId="0" borderId="0" xfId="1" applyNumberFormat="1" applyFont="1" applyAlignment="1">
      <alignment horizontal="center"/>
    </xf>
    <xf numFmtId="166" fontId="9" fillId="0" borderId="13" xfId="0" applyFont="1" applyFill="1" applyBorder="1" applyAlignment="1">
      <alignment horizontal="center"/>
    </xf>
    <xf numFmtId="166" fontId="3" fillId="0" borderId="3" xfId="0" applyNumberFormat="1" applyFont="1" applyBorder="1" applyAlignment="1">
      <alignment horizontal="center"/>
    </xf>
    <xf numFmtId="166" fontId="0" fillId="0" borderId="3" xfId="0" applyNumberFormat="1" applyBorder="1"/>
    <xf numFmtId="166" fontId="10" fillId="0" borderId="4" xfId="0" applyNumberFormat="1" applyFont="1" applyBorder="1"/>
    <xf numFmtId="166" fontId="3" fillId="0" borderId="20" xfId="0" applyNumberFormat="1" applyFont="1" applyBorder="1" applyAlignment="1">
      <alignment horizontal="center"/>
    </xf>
    <xf numFmtId="166" fontId="10" fillId="0" borderId="15" xfId="0" applyNumberFormat="1" applyFont="1" applyBorder="1"/>
    <xf numFmtId="166" fontId="0" fillId="0" borderId="8" xfId="0" applyNumberFormat="1" applyBorder="1"/>
    <xf numFmtId="166" fontId="0" fillId="0" borderId="22" xfId="0" applyNumberFormat="1" applyBorder="1"/>
    <xf numFmtId="166" fontId="11" fillId="0" borderId="18" xfId="2" applyNumberFormat="1" applyFont="1" applyBorder="1"/>
    <xf numFmtId="10" fontId="0" fillId="0" borderId="3" xfId="1" applyNumberFormat="1" applyFont="1" applyBorder="1"/>
    <xf numFmtId="10" fontId="0" fillId="0" borderId="0" xfId="1" applyNumberFormat="1" applyFont="1" applyBorder="1"/>
    <xf numFmtId="166" fontId="3" fillId="0" borderId="0" xfId="0" applyNumberFormat="1" applyFont="1" applyBorder="1"/>
    <xf numFmtId="166" fontId="3" fillId="0" borderId="8" xfId="0" applyNumberFormat="1" applyFont="1" applyBorder="1"/>
    <xf numFmtId="166" fontId="0" fillId="0" borderId="1" xfId="0" applyBorder="1" applyAlignment="1">
      <alignment horizontal="left"/>
    </xf>
    <xf numFmtId="166" fontId="0" fillId="0" borderId="1" xfId="0" applyNumberFormat="1" applyBorder="1"/>
    <xf numFmtId="10" fontId="0" fillId="0" borderId="1" xfId="1" applyNumberFormat="1" applyFont="1" applyBorder="1"/>
    <xf numFmtId="1" fontId="0" fillId="0" borderId="0" xfId="2" applyNumberFormat="1" applyFont="1"/>
    <xf numFmtId="166" fontId="0" fillId="0" borderId="12" xfId="0" applyBorder="1" applyAlignment="1">
      <alignment horizontal="center"/>
    </xf>
    <xf numFmtId="166" fontId="13" fillId="0" borderId="0" xfId="0" applyFont="1" applyBorder="1" applyAlignment="1">
      <alignment horizontal="center"/>
    </xf>
    <xf numFmtId="166" fontId="0" fillId="0" borderId="0" xfId="0" applyNumberFormat="1" applyBorder="1"/>
    <xf numFmtId="166" fontId="3" fillId="0" borderId="0" xfId="0" applyFont="1" applyFill="1" applyBorder="1"/>
    <xf numFmtId="166" fontId="0" fillId="0" borderId="0" xfId="0" applyFill="1" applyBorder="1"/>
    <xf numFmtId="1" fontId="3" fillId="0" borderId="0" xfId="0" applyNumberFormat="1" applyFont="1" applyAlignment="1">
      <alignment horizont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/>
    </xf>
    <xf numFmtId="166" fontId="3" fillId="0" borderId="2" xfId="0" applyFont="1" applyBorder="1"/>
    <xf numFmtId="166" fontId="0" fillId="0" borderId="4" xfId="0" applyBorder="1" applyAlignment="1">
      <alignment horizontal="center" vertical="center"/>
    </xf>
    <xf numFmtId="166" fontId="3" fillId="0" borderId="5" xfId="0" applyFont="1" applyBorder="1"/>
    <xf numFmtId="166" fontId="3" fillId="0" borderId="6" xfId="0" applyFont="1" applyBorder="1"/>
    <xf numFmtId="166" fontId="3" fillId="0" borderId="7" xfId="0" applyFont="1" applyBorder="1"/>
    <xf numFmtId="166" fontId="0" fillId="2" borderId="14" xfId="0" applyFill="1" applyBorder="1"/>
    <xf numFmtId="10" fontId="0" fillId="0" borderId="14" xfId="0" applyNumberFormat="1" applyBorder="1" applyAlignment="1">
      <alignment horizontal="center"/>
    </xf>
    <xf numFmtId="10" fontId="5" fillId="0" borderId="14" xfId="0" applyNumberFormat="1" applyFont="1" applyBorder="1" applyAlignment="1">
      <alignment horizontal="center"/>
    </xf>
    <xf numFmtId="166" fontId="5" fillId="0" borderId="14" xfId="0" applyFont="1" applyBorder="1"/>
    <xf numFmtId="166" fontId="5" fillId="2" borderId="13" xfId="0" applyFont="1" applyFill="1" applyBorder="1"/>
    <xf numFmtId="1" fontId="0" fillId="0" borderId="12" xfId="0" applyNumberFormat="1" applyBorder="1" applyAlignment="1">
      <alignment horizontal="center"/>
    </xf>
    <xf numFmtId="10" fontId="0" fillId="0" borderId="13" xfId="1" applyNumberFormat="1" applyFont="1" applyBorder="1"/>
    <xf numFmtId="166" fontId="0" fillId="0" borderId="1" xfId="0" applyBorder="1" applyAlignment="1">
      <alignment horizontal="center"/>
    </xf>
    <xf numFmtId="166" fontId="5" fillId="0" borderId="3" xfId="0" applyNumberFormat="1" applyFont="1" applyBorder="1" applyAlignment="1">
      <alignment horizontal="center" vertical="center" wrapText="1"/>
    </xf>
    <xf numFmtId="166" fontId="5" fillId="0" borderId="8" xfId="0" applyNumberFormat="1" applyFont="1" applyBorder="1" applyAlignment="1">
      <alignment horizontal="center" vertical="center" wrapText="1"/>
    </xf>
    <xf numFmtId="166" fontId="3" fillId="0" borderId="0" xfId="0" applyFont="1" applyBorder="1" applyAlignment="1">
      <alignment horizontal="center" vertical="center" wrapText="1"/>
    </xf>
    <xf numFmtId="166" fontId="3" fillId="0" borderId="6" xfId="0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wrapText="1"/>
    </xf>
    <xf numFmtId="164" fontId="0" fillId="0" borderId="6" xfId="1" applyNumberFormat="1" applyFont="1" applyBorder="1" applyAlignment="1">
      <alignment horizontal="center" wrapText="1"/>
    </xf>
    <xf numFmtId="166" fontId="0" fillId="0" borderId="2" xfId="0" applyBorder="1" applyAlignment="1">
      <alignment horizontal="center"/>
    </xf>
    <xf numFmtId="166" fontId="0" fillId="0" borderId="3" xfId="0" applyBorder="1" applyAlignment="1">
      <alignment horizontal="center"/>
    </xf>
    <xf numFmtId="166" fontId="0" fillId="0" borderId="4" xfId="0" applyBorder="1" applyAlignment="1">
      <alignment horizontal="center"/>
    </xf>
    <xf numFmtId="166" fontId="3" fillId="0" borderId="12" xfId="0" applyFont="1" applyBorder="1" applyAlignment="1">
      <alignment horizontal="center" vertical="center" wrapText="1"/>
    </xf>
    <xf numFmtId="166" fontId="3" fillId="0" borderId="14" xfId="0" applyFont="1" applyBorder="1" applyAlignment="1">
      <alignment horizontal="center" vertical="center" wrapText="1"/>
    </xf>
    <xf numFmtId="166" fontId="0" fillId="0" borderId="0" xfId="0" applyAlignment="1">
      <alignment horizontal="center"/>
    </xf>
    <xf numFmtId="166" fontId="0" fillId="0" borderId="14" xfId="0" applyFill="1" applyBorder="1" applyAlignment="1">
      <alignment horizontal="center" vertical="center" wrapText="1"/>
    </xf>
    <xf numFmtId="166" fontId="0" fillId="0" borderId="13" xfId="0" applyFill="1" applyBorder="1" applyAlignment="1">
      <alignment horizontal="center" vertical="center" wrapText="1"/>
    </xf>
    <xf numFmtId="166" fontId="5" fillId="0" borderId="11" xfId="0" applyNumberFormat="1" applyFont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 wrapText="1"/>
    </xf>
    <xf numFmtId="166" fontId="5" fillId="0" borderId="9" xfId="0" applyNumberFormat="1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horizontal="center" vertical="center" wrapText="1"/>
    </xf>
    <xf numFmtId="10" fontId="5" fillId="0" borderId="9" xfId="1" applyNumberFormat="1" applyFont="1" applyBorder="1" applyAlignment="1">
      <alignment horizontal="center" vertical="center" wrapText="1"/>
    </xf>
    <xf numFmtId="166" fontId="0" fillId="0" borderId="2" xfId="0" applyBorder="1" applyAlignment="1">
      <alignment horizontal="left" vertical="center" wrapText="1"/>
    </xf>
    <xf numFmtId="166" fontId="0" fillId="0" borderId="3" xfId="0" applyBorder="1" applyAlignment="1">
      <alignment horizontal="left" vertical="center" wrapText="1"/>
    </xf>
    <xf numFmtId="166" fontId="0" fillId="0" borderId="4" xfId="0" applyBorder="1" applyAlignment="1">
      <alignment horizontal="left" vertical="center" wrapText="1"/>
    </xf>
    <xf numFmtId="166" fontId="0" fillId="0" borderId="7" xfId="0" applyBorder="1" applyAlignment="1">
      <alignment horizontal="left" vertical="center" wrapText="1"/>
    </xf>
    <xf numFmtId="166" fontId="0" fillId="0" borderId="8" xfId="0" applyBorder="1" applyAlignment="1">
      <alignment horizontal="left" vertical="center" wrapText="1"/>
    </xf>
    <xf numFmtId="166" fontId="0" fillId="0" borderId="9" xfId="0" applyBorder="1" applyAlignment="1">
      <alignment horizontal="left" vertical="center" wrapText="1"/>
    </xf>
    <xf numFmtId="166" fontId="5" fillId="0" borderId="12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/>
    </xf>
    <xf numFmtId="166" fontId="2" fillId="0" borderId="0" xfId="0" applyFont="1" applyAlignment="1">
      <alignment horizontal="center"/>
    </xf>
    <xf numFmtId="166" fontId="0" fillId="0" borderId="2" xfId="0" applyBorder="1" applyAlignment="1">
      <alignment horizontal="center" vertical="center" wrapText="1"/>
    </xf>
    <xf numFmtId="166" fontId="0" fillId="0" borderId="3" xfId="0" applyBorder="1" applyAlignment="1">
      <alignment horizontal="center" vertical="center" wrapText="1"/>
    </xf>
    <xf numFmtId="166" fontId="0" fillId="0" borderId="7" xfId="0" applyBorder="1" applyAlignment="1">
      <alignment horizontal="center" vertical="center" wrapText="1"/>
    </xf>
    <xf numFmtId="166" fontId="0" fillId="0" borderId="8" xfId="0" applyBorder="1" applyAlignment="1">
      <alignment horizontal="center" vertical="center" wrapText="1"/>
    </xf>
    <xf numFmtId="166" fontId="0" fillId="0" borderId="2" xfId="0" applyBorder="1" applyAlignment="1">
      <alignment horizontal="left" wrapText="1"/>
    </xf>
    <xf numFmtId="166" fontId="0" fillId="0" borderId="3" xfId="0" applyBorder="1" applyAlignment="1">
      <alignment horizontal="left" wrapText="1"/>
    </xf>
    <xf numFmtId="166" fontId="0" fillId="0" borderId="5" xfId="0" applyBorder="1" applyAlignment="1">
      <alignment horizontal="left" wrapText="1"/>
    </xf>
    <xf numFmtId="166" fontId="0" fillId="0" borderId="0" xfId="0" applyBorder="1" applyAlignment="1">
      <alignment horizontal="left" wrapText="1"/>
    </xf>
    <xf numFmtId="166" fontId="2" fillId="0" borderId="0" xfId="0" applyFont="1" applyAlignment="1">
      <alignment horizontal="center" vertical="center" wrapText="1"/>
    </xf>
    <xf numFmtId="166" fontId="5" fillId="0" borderId="12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6" fontId="0" fillId="0" borderId="4" xfId="0" applyBorder="1" applyAlignment="1">
      <alignment horizontal="center" vertical="center" wrapText="1"/>
    </xf>
    <xf numFmtId="166" fontId="0" fillId="0" borderId="6" xfId="0" applyBorder="1" applyAlignment="1">
      <alignment horizontal="center" vertical="center" wrapText="1"/>
    </xf>
    <xf numFmtId="10" fontId="0" fillId="0" borderId="4" xfId="1" applyNumberFormat="1" applyFont="1" applyBorder="1" applyAlignment="1">
      <alignment horizontal="center" vertical="center" wrapText="1"/>
    </xf>
    <xf numFmtId="10" fontId="0" fillId="0" borderId="9" xfId="1" applyNumberFormat="1" applyFont="1" applyBorder="1" applyAlignment="1">
      <alignment horizontal="center" vertical="center" wrapText="1"/>
    </xf>
    <xf numFmtId="166" fontId="0" fillId="0" borderId="12" xfId="0" applyBorder="1" applyAlignment="1">
      <alignment horizontal="center" vertical="center" wrapText="1"/>
    </xf>
    <xf numFmtId="166" fontId="0" fillId="0" borderId="13" xfId="0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 vertical="center" wrapText="1"/>
    </xf>
    <xf numFmtId="166" fontId="0" fillId="0" borderId="13" xfId="0" applyNumberFormat="1" applyBorder="1" applyAlignment="1">
      <alignment horizontal="center" vertical="center" wrapText="1"/>
    </xf>
    <xf numFmtId="166" fontId="0" fillId="0" borderId="14" xfId="0" applyBorder="1" applyAlignment="1">
      <alignment horizontal="center" vertical="center" wrapText="1"/>
    </xf>
    <xf numFmtId="166" fontId="13" fillId="0" borderId="0" xfId="0" applyFont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10" fontId="5" fillId="0" borderId="4" xfId="1" applyNumberFormat="1" applyFont="1" applyBorder="1" applyAlignment="1">
      <alignment vertical="center" wrapText="1"/>
    </xf>
    <xf numFmtId="10" fontId="5" fillId="0" borderId="9" xfId="1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/>
    </xf>
    <xf numFmtId="166" fontId="9" fillId="0" borderId="2" xfId="0" applyFont="1" applyBorder="1" applyAlignment="1">
      <alignment horizontal="center" vertical="center" wrapText="1"/>
    </xf>
    <xf numFmtId="166" fontId="9" fillId="0" borderId="7" xfId="0" applyFont="1" applyBorder="1" applyAlignment="1">
      <alignment horizontal="center" vertical="center" wrapText="1"/>
    </xf>
    <xf numFmtId="166" fontId="9" fillId="0" borderId="3" xfId="0" applyFont="1" applyBorder="1" applyAlignment="1">
      <alignment horizontal="center" vertical="center" wrapText="1"/>
    </xf>
    <xf numFmtId="166" fontId="9" fillId="0" borderId="8" xfId="0" applyFont="1" applyBorder="1" applyAlignment="1">
      <alignment horizontal="center" vertical="center" wrapText="1"/>
    </xf>
    <xf numFmtId="166" fontId="9" fillId="0" borderId="4" xfId="0" applyFont="1" applyBorder="1" applyAlignment="1">
      <alignment horizontal="center" vertical="center" wrapText="1"/>
    </xf>
    <xf numFmtId="166" fontId="9" fillId="0" borderId="9" xfId="0" applyFont="1" applyBorder="1" applyAlignment="1">
      <alignment horizontal="center" vertical="center" wrapText="1"/>
    </xf>
    <xf numFmtId="166" fontId="10" fillId="0" borderId="21" xfId="0" applyNumberFormat="1" applyFont="1" applyBorder="1" applyAlignment="1">
      <alignment horizontal="center" vertical="center"/>
    </xf>
    <xf numFmtId="166" fontId="10" fillId="0" borderId="7" xfId="0" applyNumberFormat="1" applyFont="1" applyBorder="1" applyAlignment="1">
      <alignment horizontal="center" vertical="center"/>
    </xf>
    <xf numFmtId="166" fontId="10" fillId="0" borderId="6" xfId="0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/>
    </xf>
    <xf numFmtId="166" fontId="7" fillId="0" borderId="0" xfId="0" applyFont="1" applyAlignment="1">
      <alignment horizontal="center" wrapText="1"/>
    </xf>
    <xf numFmtId="166" fontId="5" fillId="0" borderId="0" xfId="0" applyFont="1" applyAlignment="1">
      <alignment horizontal="center" vertical="center" wrapText="1"/>
    </xf>
    <xf numFmtId="166" fontId="8" fillId="0" borderId="19" xfId="0" applyFont="1" applyBorder="1" applyAlignment="1">
      <alignment horizontal="center" wrapText="1"/>
    </xf>
    <xf numFmtId="166" fontId="8" fillId="0" borderId="0" xfId="0" applyFont="1" applyBorder="1" applyAlignment="1">
      <alignment horizontal="center" wrapText="1"/>
    </xf>
    <xf numFmtId="166" fontId="0" fillId="0" borderId="0" xfId="0" applyAlignment="1">
      <alignment horizontal="center" vertical="center" wrapText="1"/>
    </xf>
    <xf numFmtId="166" fontId="0" fillId="0" borderId="12" xfId="0" applyBorder="1" applyAlignment="1">
      <alignment horizontal="left" wrapText="1"/>
    </xf>
    <xf numFmtId="166" fontId="0" fillId="0" borderId="13" xfId="0" applyBorder="1" applyAlignment="1">
      <alignment horizontal="left" wrapText="1"/>
    </xf>
    <xf numFmtId="166" fontId="5" fillId="0" borderId="14" xfId="0" applyFont="1" applyBorder="1" applyAlignment="1">
      <alignment horizontal="center" vertical="center" wrapText="1"/>
    </xf>
    <xf numFmtId="166" fontId="13" fillId="0" borderId="8" xfId="0" applyFont="1" applyBorder="1" applyAlignment="1">
      <alignment horizontal="center"/>
    </xf>
    <xf numFmtId="166" fontId="3" fillId="0" borderId="5" xfId="0" applyFont="1" applyBorder="1" applyAlignment="1">
      <alignment horizontal="left" vertical="center" wrapText="1"/>
    </xf>
    <xf numFmtId="166" fontId="3" fillId="0" borderId="6" xfId="0" applyFont="1" applyBorder="1" applyAlignment="1">
      <alignment horizontal="left" vertical="center" wrapText="1"/>
    </xf>
    <xf numFmtId="166" fontId="3" fillId="0" borderId="0" xfId="0" applyFont="1" applyAlignment="1">
      <alignment horizontal="left" vertical="center" wrapText="1"/>
    </xf>
    <xf numFmtId="166" fontId="0" fillId="0" borderId="12" xfId="0" applyFill="1" applyBorder="1" applyAlignment="1">
      <alignment horizontal="center" vertical="center" wrapText="1"/>
    </xf>
    <xf numFmtId="166" fontId="0" fillId="0" borderId="12" xfId="0" applyBorder="1" applyAlignment="1">
      <alignment horizontal="center" vertical="center" textRotation="90" wrapText="1"/>
    </xf>
    <xf numFmtId="166" fontId="0" fillId="0" borderId="14" xfId="0" applyBorder="1" applyAlignment="1">
      <alignment horizontal="center" vertical="center" textRotation="90" wrapText="1"/>
    </xf>
    <xf numFmtId="166" fontId="0" fillId="0" borderId="13" xfId="0" applyBorder="1" applyAlignment="1">
      <alignment horizontal="center" vertical="center" textRotation="90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18" sqref="E18"/>
    </sheetView>
  </sheetViews>
  <sheetFormatPr baseColWidth="10" defaultRowHeight="15" x14ac:dyDescent="0.25"/>
  <cols>
    <col min="1" max="1" width="25.85546875" customWidth="1"/>
    <col min="2" max="2" width="13.140625" customWidth="1"/>
    <col min="3" max="3" width="13.42578125" customWidth="1"/>
    <col min="4" max="4" width="12" bestFit="1" customWidth="1"/>
    <col min="5" max="5" width="24.7109375" customWidth="1"/>
    <col min="6" max="6" width="14.42578125" customWidth="1"/>
    <col min="7" max="7" width="14.85546875" customWidth="1"/>
    <col min="8" max="8" width="13.28515625" customWidth="1"/>
  </cols>
  <sheetData>
    <row r="1" spans="1:7" x14ac:dyDescent="0.25">
      <c r="A1" s="91" t="s">
        <v>5</v>
      </c>
      <c r="B1" s="92"/>
      <c r="C1" s="93"/>
    </row>
    <row r="2" spans="1:7" x14ac:dyDescent="0.25">
      <c r="A2" s="4"/>
      <c r="B2" s="87" t="s">
        <v>1</v>
      </c>
      <c r="C2" s="88" t="s">
        <v>7</v>
      </c>
      <c r="E2" s="96" t="s">
        <v>14</v>
      </c>
      <c r="F2" s="96"/>
      <c r="G2" s="96"/>
    </row>
    <row r="3" spans="1:7" ht="15" customHeight="1" x14ac:dyDescent="0.25">
      <c r="A3" s="4"/>
      <c r="B3" s="87"/>
      <c r="C3" s="88"/>
      <c r="F3" s="94" t="s">
        <v>1</v>
      </c>
      <c r="G3" s="94" t="s">
        <v>7</v>
      </c>
    </row>
    <row r="4" spans="1:7" x14ac:dyDescent="0.25">
      <c r="A4" s="4" t="s">
        <v>0</v>
      </c>
      <c r="B4" s="5">
        <v>70000</v>
      </c>
      <c r="C4" s="6"/>
      <c r="F4" s="95"/>
      <c r="G4" s="95"/>
    </row>
    <row r="5" spans="1:7" x14ac:dyDescent="0.25">
      <c r="A5" s="4" t="s">
        <v>3</v>
      </c>
      <c r="B5" s="5">
        <v>30000</v>
      </c>
      <c r="C5" s="6"/>
      <c r="E5" s="19" t="s">
        <v>0</v>
      </c>
      <c r="F5" s="16">
        <f>B4</f>
        <v>70000</v>
      </c>
      <c r="G5" s="17">
        <f>F5*(1+$B$7)</f>
        <v>108500</v>
      </c>
    </row>
    <row r="6" spans="1:7" ht="15.75" thickBot="1" x14ac:dyDescent="0.3">
      <c r="A6" s="4" t="s">
        <v>4</v>
      </c>
      <c r="B6" s="7"/>
      <c r="C6" s="8">
        <v>46500</v>
      </c>
      <c r="E6" s="20" t="s">
        <v>8</v>
      </c>
      <c r="F6" s="13">
        <f>B5</f>
        <v>30000</v>
      </c>
      <c r="G6" s="18">
        <f>F6*(1+$B$7)</f>
        <v>46500</v>
      </c>
    </row>
    <row r="7" spans="1:7" ht="15.75" thickTop="1" x14ac:dyDescent="0.25">
      <c r="A7" s="9" t="s">
        <v>2</v>
      </c>
      <c r="B7" s="89">
        <v>0.55000000000000004</v>
      </c>
      <c r="C7" s="90"/>
      <c r="E7" s="97" t="s">
        <v>9</v>
      </c>
      <c r="F7" s="99">
        <f>F5+F6</f>
        <v>100000</v>
      </c>
      <c r="G7" s="100">
        <f>G5+G6</f>
        <v>155000</v>
      </c>
    </row>
    <row r="8" spans="1:7" x14ac:dyDescent="0.25">
      <c r="A8" s="10" t="s">
        <v>6</v>
      </c>
      <c r="B8" s="11"/>
      <c r="C8" s="12">
        <v>70000</v>
      </c>
      <c r="E8" s="98"/>
      <c r="F8" s="86"/>
      <c r="G8" s="101"/>
    </row>
    <row r="9" spans="1:7" ht="15.75" thickBot="1" x14ac:dyDescent="0.3">
      <c r="E9" s="19" t="s">
        <v>10</v>
      </c>
      <c r="F9" s="22"/>
      <c r="G9" s="23">
        <f>C8</f>
        <v>70000</v>
      </c>
    </row>
    <row r="10" spans="1:7" ht="15.75" thickTop="1" x14ac:dyDescent="0.25">
      <c r="E10" s="25" t="s">
        <v>11</v>
      </c>
      <c r="F10" s="11"/>
      <c r="G10" s="24">
        <f>G7-G9</f>
        <v>85000</v>
      </c>
    </row>
    <row r="11" spans="1:7" x14ac:dyDescent="0.25">
      <c r="E11" s="19" t="s">
        <v>12</v>
      </c>
      <c r="F11" s="22"/>
      <c r="G11" s="102">
        <f>F7/G7</f>
        <v>0.64516129032258063</v>
      </c>
    </row>
    <row r="12" spans="1:7" x14ac:dyDescent="0.25">
      <c r="E12" s="26" t="str">
        <f>"(" &amp;F7 &amp; "/"&amp;G7&amp;")"</f>
        <v>(100000/155000)</v>
      </c>
      <c r="F12" s="11"/>
      <c r="G12" s="103"/>
    </row>
    <row r="13" spans="1:7" x14ac:dyDescent="0.25">
      <c r="E13" s="19" t="s">
        <v>13</v>
      </c>
      <c r="F13" s="85">
        <f>G10*ROUND(G11,4)</f>
        <v>54842</v>
      </c>
      <c r="G13" s="27"/>
    </row>
    <row r="14" spans="1:7" x14ac:dyDescent="0.25">
      <c r="E14" s="26" t="str">
        <f xml:space="preserve"> "("&amp;G10&amp;" x "&amp;(ROUND(F7/G7,4))&amp;")"</f>
        <v>(85000 x 0,6452)</v>
      </c>
      <c r="F14" s="86"/>
      <c r="G14" s="28"/>
    </row>
    <row r="16" spans="1:7" x14ac:dyDescent="0.25">
      <c r="E16" s="1"/>
    </row>
    <row r="17" spans="4:7" x14ac:dyDescent="0.25">
      <c r="E17" s="14"/>
    </row>
    <row r="19" spans="4:7" x14ac:dyDescent="0.25">
      <c r="G19" s="2"/>
    </row>
    <row r="20" spans="4:7" x14ac:dyDescent="0.25">
      <c r="D20" s="2"/>
    </row>
    <row r="21" spans="4:7" x14ac:dyDescent="0.25">
      <c r="D21" s="2"/>
    </row>
  </sheetData>
  <mergeCells count="12">
    <mergeCell ref="F13:F14"/>
    <mergeCell ref="B2:B3"/>
    <mergeCell ref="C2:C3"/>
    <mergeCell ref="B7:C7"/>
    <mergeCell ref="A1:C1"/>
    <mergeCell ref="F3:F4"/>
    <mergeCell ref="E2:G2"/>
    <mergeCell ref="G3:G4"/>
    <mergeCell ref="E7:E8"/>
    <mergeCell ref="F7:F8"/>
    <mergeCell ref="G7:G8"/>
    <mergeCell ref="G11:G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19" sqref="I19"/>
    </sheetView>
  </sheetViews>
  <sheetFormatPr baseColWidth="10" defaultRowHeight="15" x14ac:dyDescent="0.25"/>
  <cols>
    <col min="1" max="1" width="28.28515625" customWidth="1"/>
    <col min="2" max="2" width="13.85546875" customWidth="1"/>
    <col min="3" max="3" width="27.140625" customWidth="1"/>
    <col min="4" max="4" width="12.85546875" customWidth="1"/>
    <col min="6" max="6" width="16.140625" customWidth="1"/>
    <col min="7" max="7" width="13" bestFit="1" customWidth="1"/>
    <col min="9" max="9" width="14.28515625" customWidth="1"/>
  </cols>
  <sheetData>
    <row r="1" spans="1:9" x14ac:dyDescent="0.25">
      <c r="A1" t="s">
        <v>5</v>
      </c>
    </row>
    <row r="2" spans="1:9" x14ac:dyDescent="0.25">
      <c r="A2" s="112" t="s">
        <v>35</v>
      </c>
      <c r="B2" s="112"/>
      <c r="C2" s="112"/>
      <c r="D2" s="112"/>
      <c r="F2" s="121" t="s">
        <v>15</v>
      </c>
      <c r="G2" s="121"/>
      <c r="H2" s="121"/>
    </row>
    <row r="3" spans="1:9" x14ac:dyDescent="0.25">
      <c r="A3" s="15" t="s">
        <v>16</v>
      </c>
      <c r="B3" s="29">
        <v>110500</v>
      </c>
      <c r="C3" s="15" t="s">
        <v>21</v>
      </c>
      <c r="D3" s="29">
        <v>96000</v>
      </c>
      <c r="G3" s="128" t="s">
        <v>27</v>
      </c>
      <c r="H3" s="124" t="s">
        <v>30</v>
      </c>
    </row>
    <row r="4" spans="1:9" x14ac:dyDescent="0.25">
      <c r="A4" s="4" t="s">
        <v>17</v>
      </c>
      <c r="B4" s="8">
        <v>4000</v>
      </c>
      <c r="C4" s="4" t="s">
        <v>22</v>
      </c>
      <c r="D4" s="8">
        <v>1500</v>
      </c>
      <c r="G4" s="132"/>
      <c r="H4" s="125"/>
    </row>
    <row r="5" spans="1:9" x14ac:dyDescent="0.25">
      <c r="A5" s="4" t="s">
        <v>18</v>
      </c>
      <c r="B5" s="8">
        <v>5000</v>
      </c>
      <c r="C5" s="4" t="s">
        <v>23</v>
      </c>
      <c r="D5" s="8">
        <v>4000</v>
      </c>
      <c r="F5" s="128" t="s">
        <v>26</v>
      </c>
      <c r="G5" s="130">
        <f>B3-B4-B5-B6</f>
        <v>100000</v>
      </c>
      <c r="H5" s="126">
        <f>G5/G5</f>
        <v>1</v>
      </c>
    </row>
    <row r="6" spans="1:9" x14ac:dyDescent="0.25">
      <c r="A6" s="4" t="s">
        <v>19</v>
      </c>
      <c r="B6" s="8">
        <v>1500</v>
      </c>
      <c r="C6" s="4" t="s">
        <v>24</v>
      </c>
      <c r="D6" s="8">
        <v>500</v>
      </c>
      <c r="F6" s="129"/>
      <c r="G6" s="131"/>
      <c r="H6" s="127"/>
    </row>
    <row r="7" spans="1:9" x14ac:dyDescent="0.25">
      <c r="A7" s="10" t="s">
        <v>20</v>
      </c>
      <c r="B7" s="12">
        <v>10000</v>
      </c>
      <c r="C7" s="10" t="s">
        <v>25</v>
      </c>
      <c r="D7" s="12">
        <v>30000</v>
      </c>
      <c r="F7" s="128" t="s">
        <v>28</v>
      </c>
      <c r="G7" s="130">
        <f>B7+D3-D4-D5-D6-D7</f>
        <v>70000</v>
      </c>
      <c r="H7" s="126">
        <f>G7/G5</f>
        <v>0.7</v>
      </c>
    </row>
    <row r="8" spans="1:9" x14ac:dyDescent="0.25">
      <c r="F8" s="129"/>
      <c r="G8" s="131"/>
      <c r="H8" s="127"/>
    </row>
    <row r="9" spans="1:9" x14ac:dyDescent="0.25">
      <c r="A9" s="112" t="s">
        <v>36</v>
      </c>
      <c r="B9" s="112"/>
      <c r="C9" s="112"/>
      <c r="D9" s="112"/>
      <c r="F9" s="21" t="s">
        <v>29</v>
      </c>
      <c r="G9" s="31">
        <f>G5-G7</f>
        <v>30000</v>
      </c>
      <c r="H9" s="30">
        <f>G9/G5</f>
        <v>0.3</v>
      </c>
    </row>
    <row r="10" spans="1:9" x14ac:dyDescent="0.25">
      <c r="A10" s="15" t="s">
        <v>16</v>
      </c>
      <c r="B10" s="29">
        <v>130000</v>
      </c>
      <c r="C10" s="15" t="s">
        <v>43</v>
      </c>
      <c r="D10" s="29">
        <v>89500</v>
      </c>
    </row>
    <row r="11" spans="1:9" x14ac:dyDescent="0.25">
      <c r="A11" s="4" t="s">
        <v>17</v>
      </c>
      <c r="B11" s="8">
        <v>3000</v>
      </c>
      <c r="C11" s="4" t="s">
        <v>44</v>
      </c>
      <c r="D11" s="8">
        <v>1500</v>
      </c>
    </row>
    <row r="12" spans="1:9" x14ac:dyDescent="0.25">
      <c r="A12" s="4" t="s">
        <v>18</v>
      </c>
      <c r="B12" s="8">
        <v>5000</v>
      </c>
      <c r="C12" s="4" t="s">
        <v>45</v>
      </c>
      <c r="D12" s="8">
        <v>6000</v>
      </c>
      <c r="F12" s="121" t="s">
        <v>32</v>
      </c>
      <c r="G12" s="121"/>
      <c r="H12" s="121"/>
      <c r="I12" s="121"/>
    </row>
    <row r="13" spans="1:9" x14ac:dyDescent="0.25">
      <c r="A13" s="10" t="s">
        <v>19</v>
      </c>
      <c r="B13" s="12">
        <v>2000</v>
      </c>
      <c r="C13" s="10" t="s">
        <v>46</v>
      </c>
      <c r="D13" s="12">
        <v>2000</v>
      </c>
      <c r="I13" s="3" t="s">
        <v>33</v>
      </c>
    </row>
    <row r="14" spans="1:9" x14ac:dyDescent="0.25">
      <c r="F14" s="117" t="s">
        <v>31</v>
      </c>
      <c r="G14" s="118"/>
      <c r="H14" s="27"/>
      <c r="I14" s="33">
        <f>D7</f>
        <v>30000</v>
      </c>
    </row>
    <row r="15" spans="1:9" x14ac:dyDescent="0.25">
      <c r="F15" s="119" t="s">
        <v>34</v>
      </c>
      <c r="G15" s="120"/>
      <c r="H15" s="6"/>
      <c r="I15" s="34">
        <f>D10-D11-D12-D13</f>
        <v>80000</v>
      </c>
    </row>
    <row r="16" spans="1:9" x14ac:dyDescent="0.25">
      <c r="F16" s="113" t="s">
        <v>37</v>
      </c>
      <c r="G16" s="114"/>
      <c r="H16" s="27"/>
      <c r="I16" s="122">
        <f>I14+I15</f>
        <v>110000</v>
      </c>
    </row>
    <row r="17" spans="6:9" x14ac:dyDescent="0.25">
      <c r="F17" s="115"/>
      <c r="G17" s="116"/>
      <c r="H17" s="28"/>
      <c r="I17" s="123"/>
    </row>
    <row r="18" spans="6:9" x14ac:dyDescent="0.25">
      <c r="F18" s="15" t="s">
        <v>38</v>
      </c>
      <c r="G18" s="22"/>
      <c r="H18" s="27"/>
      <c r="I18" s="35">
        <f>H9</f>
        <v>0.3</v>
      </c>
    </row>
    <row r="19" spans="6:9" x14ac:dyDescent="0.25">
      <c r="F19" s="10" t="s">
        <v>39</v>
      </c>
      <c r="G19" s="11"/>
      <c r="H19" s="28"/>
      <c r="I19" s="36">
        <f>1-I18</f>
        <v>0.7</v>
      </c>
    </row>
    <row r="20" spans="6:9" x14ac:dyDescent="0.25">
      <c r="F20" s="15" t="s">
        <v>41</v>
      </c>
      <c r="G20" s="22"/>
      <c r="H20" s="27"/>
      <c r="I20" s="33">
        <f>B10-B11-B12-B13</f>
        <v>120000</v>
      </c>
    </row>
    <row r="21" spans="6:9" x14ac:dyDescent="0.25">
      <c r="F21" s="10" t="s">
        <v>40</v>
      </c>
      <c r="G21" s="11"/>
      <c r="H21" s="28"/>
      <c r="I21" s="37">
        <f>I19*I20</f>
        <v>84000</v>
      </c>
    </row>
    <row r="22" spans="6:9" x14ac:dyDescent="0.25">
      <c r="F22" s="104" t="s">
        <v>42</v>
      </c>
      <c r="G22" s="105"/>
      <c r="H22" s="106"/>
      <c r="I22" s="110">
        <f>I16-I21</f>
        <v>26000</v>
      </c>
    </row>
    <row r="23" spans="6:9" x14ac:dyDescent="0.25">
      <c r="F23" s="107"/>
      <c r="G23" s="108"/>
      <c r="H23" s="109"/>
      <c r="I23" s="111"/>
    </row>
  </sheetData>
  <mergeCells count="18">
    <mergeCell ref="H3:H4"/>
    <mergeCell ref="H5:H6"/>
    <mergeCell ref="H7:H8"/>
    <mergeCell ref="F2:H2"/>
    <mergeCell ref="A2:D2"/>
    <mergeCell ref="F5:F6"/>
    <mergeCell ref="G5:G6"/>
    <mergeCell ref="G3:G4"/>
    <mergeCell ref="F7:F8"/>
    <mergeCell ref="G7:G8"/>
    <mergeCell ref="F22:H23"/>
    <mergeCell ref="I22:I23"/>
    <mergeCell ref="A9:D9"/>
    <mergeCell ref="F16:G17"/>
    <mergeCell ref="F14:G14"/>
    <mergeCell ref="F15:G15"/>
    <mergeCell ref="F12:I12"/>
    <mergeCell ref="I16:I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8"/>
  <sheetViews>
    <sheetView topLeftCell="I1" zoomScale="89" zoomScaleNormal="89" workbookViewId="0">
      <selection activeCell="A3" sqref="A3:D7"/>
    </sheetView>
  </sheetViews>
  <sheetFormatPr baseColWidth="10" defaultRowHeight="15" x14ac:dyDescent="0.25"/>
  <cols>
    <col min="1" max="1" width="9.5703125" customWidth="1"/>
    <col min="2" max="2" width="16.42578125" customWidth="1"/>
    <col min="3" max="3" width="13.5703125" customWidth="1"/>
    <col min="4" max="4" width="15.85546875" customWidth="1"/>
    <col min="6" max="6" width="22.85546875" customWidth="1"/>
    <col min="7" max="7" width="13.28515625" customWidth="1"/>
    <col min="8" max="8" width="13.5703125" customWidth="1"/>
    <col min="9" max="9" width="13.7109375" customWidth="1"/>
    <col min="10" max="10" width="13.28515625" customWidth="1"/>
    <col min="12" max="12" width="23.42578125" customWidth="1"/>
    <col min="13" max="13" width="13.7109375" customWidth="1"/>
    <col min="14" max="14" width="7" customWidth="1"/>
    <col min="15" max="15" width="12.85546875" customWidth="1"/>
    <col min="16" max="16" width="13" customWidth="1"/>
    <col min="17" max="17" width="7.28515625" customWidth="1"/>
    <col min="18" max="18" width="13.140625" customWidth="1"/>
    <col min="19" max="19" width="12.5703125" customWidth="1"/>
    <col min="20" max="20" width="6.85546875" customWidth="1"/>
    <col min="21" max="21" width="12.85546875" customWidth="1"/>
    <col min="22" max="22" width="12.7109375" customWidth="1"/>
    <col min="23" max="23" width="7" customWidth="1"/>
    <col min="24" max="24" width="13" customWidth="1"/>
  </cols>
  <sheetData>
    <row r="1" spans="1:25" ht="15.75" x14ac:dyDescent="0.25">
      <c r="L1" s="133" t="s">
        <v>71</v>
      </c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spans="1:25" x14ac:dyDescent="0.25">
      <c r="A2" s="121" t="s">
        <v>107</v>
      </c>
      <c r="B2" s="121"/>
      <c r="C2" s="121"/>
      <c r="D2" s="121"/>
      <c r="F2" s="112" t="s">
        <v>49</v>
      </c>
      <c r="G2" s="112"/>
      <c r="H2" s="112"/>
      <c r="M2" s="139">
        <v>2001</v>
      </c>
      <c r="N2" s="139"/>
      <c r="O2" s="139"/>
      <c r="P2" s="139">
        <v>2002</v>
      </c>
      <c r="Q2" s="139"/>
      <c r="R2" s="139"/>
      <c r="S2" s="139">
        <v>2003</v>
      </c>
      <c r="T2" s="139"/>
      <c r="U2" s="139"/>
      <c r="V2" s="139">
        <v>2004</v>
      </c>
      <c r="W2" s="139"/>
      <c r="X2" s="139"/>
    </row>
    <row r="3" spans="1:25" x14ac:dyDescent="0.25">
      <c r="A3" s="38" t="s">
        <v>47</v>
      </c>
      <c r="B3" s="38" t="s">
        <v>106</v>
      </c>
      <c r="C3" s="38" t="s">
        <v>105</v>
      </c>
      <c r="D3" s="38" t="s">
        <v>41</v>
      </c>
      <c r="G3" s="32" t="s">
        <v>48</v>
      </c>
      <c r="H3" s="32" t="s">
        <v>48</v>
      </c>
      <c r="M3" s="140" t="s">
        <v>72</v>
      </c>
      <c r="N3" s="142" t="s">
        <v>73</v>
      </c>
      <c r="O3" s="144" t="s">
        <v>74</v>
      </c>
      <c r="P3" s="140" t="s">
        <v>72</v>
      </c>
      <c r="Q3" s="142" t="s">
        <v>73</v>
      </c>
      <c r="R3" s="144" t="s">
        <v>74</v>
      </c>
      <c r="S3" s="140" t="s">
        <v>72</v>
      </c>
      <c r="T3" s="142" t="s">
        <v>73</v>
      </c>
      <c r="U3" s="144" t="s">
        <v>74</v>
      </c>
      <c r="V3" s="140" t="s">
        <v>72</v>
      </c>
      <c r="W3" s="142" t="s">
        <v>73</v>
      </c>
      <c r="X3" s="144" t="s">
        <v>74</v>
      </c>
    </row>
    <row r="4" spans="1:25" x14ac:dyDescent="0.25">
      <c r="A4" s="69">
        <v>2001</v>
      </c>
      <c r="B4" s="40">
        <v>296059</v>
      </c>
      <c r="C4" s="40">
        <v>1229885</v>
      </c>
      <c r="D4" s="40">
        <v>1644972</v>
      </c>
      <c r="G4" s="32" t="s">
        <v>50</v>
      </c>
      <c r="H4" s="32" t="s">
        <v>51</v>
      </c>
      <c r="M4" s="141"/>
      <c r="N4" s="143"/>
      <c r="O4" s="145"/>
      <c r="P4" s="141"/>
      <c r="Q4" s="143"/>
      <c r="R4" s="145"/>
      <c r="S4" s="141"/>
      <c r="T4" s="143"/>
      <c r="U4" s="145"/>
      <c r="V4" s="141"/>
      <c r="W4" s="143"/>
      <c r="X4" s="145"/>
    </row>
    <row r="5" spans="1:25" x14ac:dyDescent="0.25">
      <c r="A5" s="69">
        <v>2002</v>
      </c>
      <c r="B5" s="40">
        <v>374355</v>
      </c>
      <c r="C5" s="40">
        <v>1281772</v>
      </c>
      <c r="D5" s="40">
        <v>1671009</v>
      </c>
      <c r="F5" t="s">
        <v>53</v>
      </c>
      <c r="G5" s="39">
        <v>1</v>
      </c>
      <c r="H5" s="39">
        <v>0.25</v>
      </c>
      <c r="L5" s="19" t="s">
        <v>0</v>
      </c>
      <c r="M5" s="48">
        <v>269043</v>
      </c>
      <c r="N5" s="56">
        <f>G28</f>
        <v>0.5053080622995878</v>
      </c>
      <c r="O5" s="50">
        <f>(1+N5)*M5</f>
        <v>404992.59700526798</v>
      </c>
      <c r="P5" s="48">
        <v>296059</v>
      </c>
      <c r="Q5" s="56">
        <f>H28</f>
        <v>0.46322264793529144</v>
      </c>
      <c r="R5" s="50">
        <f>(1+Q5)*P5</f>
        <v>433200.23392507446</v>
      </c>
      <c r="S5" s="48">
        <v>374355</v>
      </c>
      <c r="T5" s="56">
        <f>I28</f>
        <v>0.48843807423741281</v>
      </c>
      <c r="U5" s="50">
        <f>(1+T5)*S5</f>
        <v>557204.23528114671</v>
      </c>
      <c r="V5" s="48">
        <v>451650</v>
      </c>
      <c r="W5" s="56">
        <f>J28</f>
        <v>0.49170683718642416</v>
      </c>
      <c r="X5" s="50">
        <f>(1+W5)*V5</f>
        <v>673729.39301524847</v>
      </c>
    </row>
    <row r="6" spans="1:25" ht="15.75" thickBot="1" x14ac:dyDescent="0.3">
      <c r="A6" s="69">
        <v>2003</v>
      </c>
      <c r="B6" s="40">
        <v>451650</v>
      </c>
      <c r="C6" s="40">
        <v>1483663</v>
      </c>
      <c r="D6" s="40">
        <v>1896840</v>
      </c>
      <c r="F6" t="s">
        <v>52</v>
      </c>
      <c r="G6" s="43">
        <v>0.45</v>
      </c>
      <c r="H6" s="43">
        <v>0.05</v>
      </c>
      <c r="L6" s="20" t="s">
        <v>8</v>
      </c>
      <c r="M6" s="51">
        <v>1229885</v>
      </c>
      <c r="N6" s="57">
        <f>N5</f>
        <v>0.5053080622995878</v>
      </c>
      <c r="O6" s="52">
        <f>(1+N6)*M6</f>
        <v>1851355.8062013285</v>
      </c>
      <c r="P6" s="51">
        <v>1281772</v>
      </c>
      <c r="Q6" s="57">
        <f>Q5</f>
        <v>0.46322264793529144</v>
      </c>
      <c r="R6" s="52">
        <f>(1+Q6)*P6</f>
        <v>1875517.8198893145</v>
      </c>
      <c r="S6" s="51">
        <v>1483663</v>
      </c>
      <c r="T6" s="57">
        <f>T5</f>
        <v>0.48843807423741281</v>
      </c>
      <c r="U6" s="52">
        <f>(1+T6)*S6</f>
        <v>2208340.4985373025</v>
      </c>
      <c r="V6" s="51">
        <v>1148301</v>
      </c>
      <c r="W6" s="57">
        <f>W5</f>
        <v>0.49170683718642416</v>
      </c>
      <c r="X6" s="52">
        <f>(1+W6)*V6</f>
        <v>1712928.4528480081</v>
      </c>
    </row>
    <row r="7" spans="1:25" ht="15.75" thickTop="1" x14ac:dyDescent="0.25">
      <c r="A7" s="69">
        <v>2004</v>
      </c>
      <c r="B7" s="40">
        <v>390851</v>
      </c>
      <c r="C7" s="40">
        <v>1148301</v>
      </c>
      <c r="D7" s="40">
        <v>1698785</v>
      </c>
      <c r="F7" t="s">
        <v>65</v>
      </c>
      <c r="G7" s="44">
        <f>G5-G6</f>
        <v>0.55000000000000004</v>
      </c>
      <c r="H7" s="44">
        <f>H5-H6</f>
        <v>0.2</v>
      </c>
      <c r="L7" s="97" t="s">
        <v>75</v>
      </c>
      <c r="M7" s="146">
        <f>M5+M6</f>
        <v>1498928</v>
      </c>
      <c r="N7" s="58"/>
      <c r="O7" s="148">
        <f>O5+O6</f>
        <v>2256348.4032065966</v>
      </c>
      <c r="P7" s="146">
        <f>P5+P6</f>
        <v>1577831</v>
      </c>
      <c r="Q7" s="58"/>
      <c r="R7" s="148">
        <f>R5+R6</f>
        <v>2308718.0538143888</v>
      </c>
      <c r="S7" s="146">
        <f>S5+S6</f>
        <v>1858018</v>
      </c>
      <c r="T7" s="58"/>
      <c r="U7" s="148">
        <f>U5+U6</f>
        <v>2765544.7338184491</v>
      </c>
      <c r="V7" s="146">
        <f>V5+V6</f>
        <v>1599951</v>
      </c>
      <c r="W7" s="58"/>
      <c r="X7" s="148">
        <f>X5+X6</f>
        <v>2386657.8458632566</v>
      </c>
    </row>
    <row r="8" spans="1:25" x14ac:dyDescent="0.25">
      <c r="F8" s="112" t="s">
        <v>54</v>
      </c>
      <c r="G8" s="112"/>
      <c r="H8" s="112"/>
      <c r="I8" s="112"/>
      <c r="J8" s="112"/>
      <c r="L8" s="98"/>
      <c r="M8" s="147"/>
      <c r="N8" s="59"/>
      <c r="O8" s="149"/>
      <c r="P8" s="147"/>
      <c r="Q8" s="59"/>
      <c r="R8" s="149"/>
      <c r="S8" s="147"/>
      <c r="T8" s="59"/>
      <c r="U8" s="149"/>
      <c r="V8" s="147"/>
      <c r="W8" s="59"/>
      <c r="X8" s="149"/>
      <c r="Y8" s="38"/>
    </row>
    <row r="9" spans="1:25" x14ac:dyDescent="0.25">
      <c r="F9" t="s">
        <v>48</v>
      </c>
      <c r="G9" s="69">
        <v>2001</v>
      </c>
      <c r="H9" s="69">
        <v>2002</v>
      </c>
      <c r="I9" s="69">
        <v>2003</v>
      </c>
      <c r="J9" s="69">
        <v>2004</v>
      </c>
      <c r="L9" s="21" t="s">
        <v>76</v>
      </c>
      <c r="M9" s="54"/>
      <c r="N9" s="54"/>
      <c r="O9" s="55">
        <f>D4</f>
        <v>1644972</v>
      </c>
      <c r="P9" s="54"/>
      <c r="Q9" s="54"/>
      <c r="R9" s="55">
        <f>D5</f>
        <v>1671009</v>
      </c>
      <c r="S9" s="54"/>
      <c r="T9" s="54"/>
      <c r="U9" s="55">
        <f>D6</f>
        <v>1896840</v>
      </c>
      <c r="V9" s="54"/>
      <c r="W9" s="54"/>
      <c r="X9" s="55">
        <f>D7</f>
        <v>1698785</v>
      </c>
    </row>
    <row r="10" spans="1:25" x14ac:dyDescent="0.25">
      <c r="F10" t="s">
        <v>55</v>
      </c>
      <c r="G10" s="41">
        <v>2049</v>
      </c>
      <c r="H10" s="41">
        <v>2665</v>
      </c>
      <c r="I10" s="41">
        <v>2975</v>
      </c>
      <c r="J10" s="41">
        <v>2238</v>
      </c>
      <c r="L10" s="155" t="s">
        <v>77</v>
      </c>
      <c r="M10" s="49"/>
      <c r="N10" s="49"/>
      <c r="O10" s="134">
        <f>O7-O9</f>
        <v>611376.40320659662</v>
      </c>
      <c r="P10" s="49"/>
      <c r="Q10" s="49"/>
      <c r="R10" s="134">
        <f>R7-R9</f>
        <v>637709.05381438881</v>
      </c>
      <c r="S10" s="49"/>
      <c r="T10" s="49"/>
      <c r="U10" s="134">
        <f>U7-U9</f>
        <v>868704.73381844908</v>
      </c>
      <c r="V10" s="49"/>
      <c r="W10" s="49"/>
      <c r="X10" s="134">
        <f>X7-X9</f>
        <v>687872.8458632566</v>
      </c>
    </row>
    <row r="11" spans="1:25" x14ac:dyDescent="0.25">
      <c r="F11" t="s">
        <v>56</v>
      </c>
      <c r="G11" s="41">
        <v>2075</v>
      </c>
      <c r="H11" s="41">
        <v>2481</v>
      </c>
      <c r="I11" s="41">
        <v>2944</v>
      </c>
      <c r="J11" s="41">
        <v>3077</v>
      </c>
      <c r="L11" s="156"/>
      <c r="M11" s="53"/>
      <c r="N11" s="53"/>
      <c r="O11" s="135"/>
      <c r="P11" s="53"/>
      <c r="Q11" s="53"/>
      <c r="R11" s="135"/>
      <c r="S11" s="53"/>
      <c r="T11" s="53"/>
      <c r="U11" s="135"/>
      <c r="V11" s="53"/>
      <c r="W11" s="53"/>
      <c r="X11" s="135"/>
    </row>
    <row r="12" spans="1:25" x14ac:dyDescent="0.25">
      <c r="F12" t="s">
        <v>57</v>
      </c>
      <c r="G12" s="41">
        <v>1301</v>
      </c>
      <c r="H12" s="41">
        <v>1421</v>
      </c>
      <c r="I12" s="41">
        <v>1375</v>
      </c>
      <c r="J12" s="41">
        <v>1000</v>
      </c>
      <c r="L12" s="19" t="s">
        <v>78</v>
      </c>
      <c r="M12" s="15"/>
      <c r="N12" s="22"/>
      <c r="O12" s="136">
        <f>M7/O7</f>
        <v>0.66431584673262656</v>
      </c>
      <c r="P12" s="15"/>
      <c r="Q12" s="22"/>
      <c r="R12" s="136">
        <f>P7/R7</f>
        <v>0.68342299199036405</v>
      </c>
      <c r="S12" s="15"/>
      <c r="T12" s="22"/>
      <c r="U12" s="136">
        <f>S7/U7</f>
        <v>0.67184521634354233</v>
      </c>
      <c r="V12" s="15"/>
      <c r="W12" s="22"/>
      <c r="X12" s="136">
        <f>V7/X7</f>
        <v>0.67037300833597124</v>
      </c>
    </row>
    <row r="13" spans="1:25" x14ac:dyDescent="0.25">
      <c r="F13" t="s">
        <v>58</v>
      </c>
      <c r="G13" s="41">
        <v>1012</v>
      </c>
      <c r="H13" s="41">
        <v>1045</v>
      </c>
      <c r="I13" s="41">
        <v>1347</v>
      </c>
      <c r="J13" s="41">
        <v>1228</v>
      </c>
      <c r="L13" s="47" t="s">
        <v>79</v>
      </c>
      <c r="M13" s="10"/>
      <c r="N13" s="11"/>
      <c r="O13" s="137"/>
      <c r="P13" s="10"/>
      <c r="Q13" s="11"/>
      <c r="R13" s="137"/>
      <c r="S13" s="10"/>
      <c r="T13" s="11"/>
      <c r="U13" s="137"/>
      <c r="V13" s="10"/>
      <c r="W13" s="11"/>
      <c r="X13" s="137"/>
    </row>
    <row r="14" spans="1:25" x14ac:dyDescent="0.25">
      <c r="F14" t="s">
        <v>59</v>
      </c>
      <c r="G14" s="41">
        <v>1180</v>
      </c>
      <c r="H14" s="41">
        <v>1221</v>
      </c>
      <c r="I14" s="41">
        <v>1396</v>
      </c>
      <c r="J14" s="41">
        <v>929</v>
      </c>
      <c r="L14" s="19" t="s">
        <v>13</v>
      </c>
      <c r="M14" s="15"/>
      <c r="N14" s="22"/>
      <c r="O14" s="138">
        <f>O10*O12</f>
        <v>406147.03296853794</v>
      </c>
      <c r="P14" s="15"/>
      <c r="Q14" s="22"/>
      <c r="R14" s="138">
        <f>R10*R12</f>
        <v>435825.0295771737</v>
      </c>
      <c r="S14" s="15"/>
      <c r="T14" s="22"/>
      <c r="U14" s="138">
        <f>U10*U12</f>
        <v>583635.11983091524</v>
      </c>
      <c r="V14" s="15"/>
      <c r="W14" s="22"/>
      <c r="X14" s="138">
        <f>X10*X12</f>
        <v>461131.38903397718</v>
      </c>
    </row>
    <row r="15" spans="1:25" x14ac:dyDescent="0.25">
      <c r="F15" t="s">
        <v>60</v>
      </c>
      <c r="G15" s="41">
        <v>0</v>
      </c>
      <c r="H15" s="41">
        <v>0</v>
      </c>
      <c r="I15" s="41">
        <v>1175</v>
      </c>
      <c r="J15" s="41">
        <v>0</v>
      </c>
      <c r="L15" s="47" t="s">
        <v>80</v>
      </c>
      <c r="M15" s="10"/>
      <c r="N15" s="11"/>
      <c r="O15" s="101"/>
      <c r="P15" s="10"/>
      <c r="Q15" s="11"/>
      <c r="R15" s="101"/>
      <c r="S15" s="10"/>
      <c r="T15" s="11"/>
      <c r="U15" s="101"/>
      <c r="V15" s="10"/>
      <c r="W15" s="11"/>
      <c r="X15" s="101"/>
    </row>
    <row r="16" spans="1:25" x14ac:dyDescent="0.25">
      <c r="F16" t="s">
        <v>61</v>
      </c>
      <c r="G16" s="41">
        <v>727</v>
      </c>
      <c r="H16" s="41">
        <v>1957</v>
      </c>
      <c r="I16" s="41">
        <v>1813</v>
      </c>
      <c r="J16" s="41">
        <v>1099</v>
      </c>
    </row>
    <row r="17" spans="6:10" ht="15.75" thickBot="1" x14ac:dyDescent="0.3">
      <c r="F17" t="s">
        <v>62</v>
      </c>
      <c r="G17" s="42">
        <v>388</v>
      </c>
      <c r="H17" s="42">
        <v>955</v>
      </c>
      <c r="I17" s="42">
        <v>580</v>
      </c>
      <c r="J17" s="42">
        <v>594</v>
      </c>
    </row>
    <row r="18" spans="6:10" ht="15.75" thickTop="1" x14ac:dyDescent="0.25">
      <c r="F18" t="s">
        <v>63</v>
      </c>
      <c r="G18" s="41">
        <f>G10+G11+G12+G13+G14+G15</f>
        <v>7617</v>
      </c>
      <c r="H18" s="41">
        <f t="shared" ref="H18:J18" si="0">H10+H11+H12+H13+H14+H15</f>
        <v>8833</v>
      </c>
      <c r="I18" s="41">
        <f t="shared" si="0"/>
        <v>11212</v>
      </c>
      <c r="J18" s="41">
        <f t="shared" si="0"/>
        <v>8472</v>
      </c>
    </row>
    <row r="19" spans="6:10" x14ac:dyDescent="0.25">
      <c r="F19" t="s">
        <v>64</v>
      </c>
      <c r="G19" s="41">
        <f>G16+G17</f>
        <v>1115</v>
      </c>
      <c r="H19" s="41">
        <f t="shared" ref="H19:J19" si="1">H16+H17</f>
        <v>2912</v>
      </c>
      <c r="I19" s="41">
        <f t="shared" si="1"/>
        <v>2393</v>
      </c>
      <c r="J19" s="41">
        <f t="shared" si="1"/>
        <v>1693</v>
      </c>
    </row>
    <row r="20" spans="6:10" ht="15" customHeight="1" x14ac:dyDescent="0.25"/>
    <row r="21" spans="6:10" ht="16.5" thickBot="1" x14ac:dyDescent="0.3">
      <c r="F21" s="154" t="s">
        <v>68</v>
      </c>
      <c r="G21" s="152" t="s">
        <v>69</v>
      </c>
      <c r="H21" s="152"/>
      <c r="I21" s="152"/>
      <c r="J21" s="152"/>
    </row>
    <row r="22" spans="6:10" ht="15.75" x14ac:dyDescent="0.25">
      <c r="F22" s="154"/>
      <c r="G22" s="153" t="s">
        <v>70</v>
      </c>
      <c r="H22" s="153"/>
      <c r="I22" s="153"/>
      <c r="J22" s="153"/>
    </row>
    <row r="24" spans="6:10" x14ac:dyDescent="0.25">
      <c r="G24" s="38" t="s">
        <v>97</v>
      </c>
      <c r="H24" s="38" t="s">
        <v>98</v>
      </c>
      <c r="I24" s="38" t="s">
        <v>99</v>
      </c>
      <c r="J24" s="38" t="s">
        <v>100</v>
      </c>
    </row>
    <row r="25" spans="6:10" x14ac:dyDescent="0.25">
      <c r="F25" s="151" t="s">
        <v>66</v>
      </c>
      <c r="G25" s="150" t="s">
        <v>67</v>
      </c>
      <c r="H25" s="150"/>
      <c r="I25" s="150"/>
      <c r="J25" s="150"/>
    </row>
    <row r="26" spans="6:10" x14ac:dyDescent="0.25">
      <c r="F26" s="151"/>
      <c r="G26" s="150"/>
      <c r="H26" s="150"/>
      <c r="I26" s="150"/>
      <c r="J26" s="150"/>
    </row>
    <row r="27" spans="6:10" x14ac:dyDescent="0.25">
      <c r="F27" s="151"/>
      <c r="G27" s="45">
        <f>(((1+$G$7)*G18)+((1+$H$7)*G19))/(G18+G19)</f>
        <v>1.5053080622995878</v>
      </c>
      <c r="H27" s="45">
        <f>(((1+$G$7)*H18)+((1+$H$7)*H19))/(H18+H19)</f>
        <v>1.4632226479352914</v>
      </c>
      <c r="I27" s="45">
        <f>(((1+$G$7)*I18)+((1+$H$7)*I19))/(I18+I19)</f>
        <v>1.4884380742374128</v>
      </c>
      <c r="J27" s="45">
        <f>(((1+$G$7)*J18)+((1+$H$7)*J19))/(J18+J19)</f>
        <v>1.4917068371864242</v>
      </c>
    </row>
    <row r="28" spans="6:10" x14ac:dyDescent="0.25">
      <c r="F28" s="151"/>
      <c r="G28" s="46">
        <f>G27-1</f>
        <v>0.5053080622995878</v>
      </c>
      <c r="H28" s="46">
        <f t="shared" ref="H28:J28" si="2">H27-1</f>
        <v>0.46322264793529144</v>
      </c>
      <c r="I28" s="46">
        <f t="shared" si="2"/>
        <v>0.48843807423741281</v>
      </c>
      <c r="J28" s="46">
        <f t="shared" si="2"/>
        <v>0.49170683718642416</v>
      </c>
    </row>
  </sheetData>
  <mergeCells count="47">
    <mergeCell ref="A2:D2"/>
    <mergeCell ref="L7:L8"/>
    <mergeCell ref="L10:L11"/>
    <mergeCell ref="F2:H2"/>
    <mergeCell ref="F8:J8"/>
    <mergeCell ref="G25:J26"/>
    <mergeCell ref="F25:F28"/>
    <mergeCell ref="G21:J21"/>
    <mergeCell ref="G22:J22"/>
    <mergeCell ref="F21:F22"/>
    <mergeCell ref="R10:R11"/>
    <mergeCell ref="R12:R13"/>
    <mergeCell ref="R14:R15"/>
    <mergeCell ref="M2:O2"/>
    <mergeCell ref="P2:R2"/>
    <mergeCell ref="P3:P4"/>
    <mergeCell ref="Q3:Q4"/>
    <mergeCell ref="R3:R4"/>
    <mergeCell ref="N3:N4"/>
    <mergeCell ref="M7:M8"/>
    <mergeCell ref="O7:O8"/>
    <mergeCell ref="O10:O11"/>
    <mergeCell ref="O12:O13"/>
    <mergeCell ref="O14:O15"/>
    <mergeCell ref="M3:M4"/>
    <mergeCell ref="O3:O4"/>
    <mergeCell ref="U3:U4"/>
    <mergeCell ref="S7:S8"/>
    <mergeCell ref="U7:U8"/>
    <mergeCell ref="P7:P8"/>
    <mergeCell ref="R7:R8"/>
    <mergeCell ref="L1:X1"/>
    <mergeCell ref="U10:U11"/>
    <mergeCell ref="U12:U13"/>
    <mergeCell ref="U14:U15"/>
    <mergeCell ref="V2:X2"/>
    <mergeCell ref="V3:V4"/>
    <mergeCell ref="W3:W4"/>
    <mergeCell ref="X3:X4"/>
    <mergeCell ref="V7:V8"/>
    <mergeCell ref="X7:X8"/>
    <mergeCell ref="X10:X11"/>
    <mergeCell ref="X12:X13"/>
    <mergeCell ref="X14:X15"/>
    <mergeCell ref="S2:U2"/>
    <mergeCell ref="S3:S4"/>
    <mergeCell ref="T3:T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9"/>
  <sheetViews>
    <sheetView topLeftCell="C1" workbookViewId="0">
      <selection activeCell="L4" sqref="L4"/>
    </sheetView>
  </sheetViews>
  <sheetFormatPr baseColWidth="10" defaultRowHeight="15" x14ac:dyDescent="0.25"/>
  <cols>
    <col min="2" max="2" width="10.85546875" customWidth="1"/>
    <col min="3" max="3" width="14.5703125" bestFit="1" customWidth="1"/>
    <col min="4" max="6" width="12" bestFit="1" customWidth="1"/>
    <col min="7" max="7" width="13.5703125" bestFit="1" customWidth="1"/>
    <col min="8" max="8" width="12" bestFit="1" customWidth="1"/>
    <col min="9" max="9" width="12" customWidth="1"/>
    <col min="12" max="15" width="13.5703125" bestFit="1" customWidth="1"/>
  </cols>
  <sheetData>
    <row r="2" spans="2:15" x14ac:dyDescent="0.25">
      <c r="C2" s="63"/>
      <c r="D2" s="63"/>
      <c r="E2" s="63"/>
      <c r="F2" s="63"/>
      <c r="G2" s="63"/>
      <c r="H2" s="63"/>
      <c r="I2" s="63"/>
    </row>
    <row r="3" spans="2:15" ht="15.75" x14ac:dyDescent="0.25">
      <c r="C3" s="158" t="s">
        <v>108</v>
      </c>
      <c r="D3" s="158"/>
      <c r="E3" s="158"/>
      <c r="F3" s="158"/>
      <c r="G3" s="158"/>
      <c r="H3" s="158"/>
      <c r="I3" s="65"/>
      <c r="J3" s="133" t="s">
        <v>89</v>
      </c>
      <c r="K3" s="133"/>
      <c r="L3" s="133"/>
      <c r="M3" s="133"/>
      <c r="N3" s="133"/>
      <c r="O3" s="133"/>
    </row>
    <row r="4" spans="2:15" x14ac:dyDescent="0.25">
      <c r="C4" s="70">
        <v>1998</v>
      </c>
      <c r="D4" s="70">
        <v>1999</v>
      </c>
      <c r="E4" s="70">
        <v>2000</v>
      </c>
      <c r="F4" s="70">
        <v>2001</v>
      </c>
      <c r="G4" s="70">
        <v>2002</v>
      </c>
      <c r="H4" s="70">
        <v>2003</v>
      </c>
      <c r="I4" s="7"/>
      <c r="J4" s="68" t="s">
        <v>96</v>
      </c>
      <c r="L4" s="71">
        <v>2001</v>
      </c>
      <c r="M4" s="71">
        <v>2002</v>
      </c>
      <c r="N4" s="71">
        <v>2003</v>
      </c>
      <c r="O4" s="71">
        <v>2004</v>
      </c>
    </row>
    <row r="5" spans="2:15" x14ac:dyDescent="0.25">
      <c r="B5" s="60" t="s">
        <v>41</v>
      </c>
      <c r="C5" s="61">
        <v>1041101</v>
      </c>
      <c r="D5" s="61">
        <v>1145199</v>
      </c>
      <c r="E5" s="61">
        <v>1572685</v>
      </c>
      <c r="F5" s="61">
        <f>'Caso 3 Zapateria I PM y Minoris'!D4</f>
        <v>1644972</v>
      </c>
      <c r="G5" s="21">
        <f>'Caso 3 Zapateria I PM y Minoris'!D5</f>
        <v>1671009</v>
      </c>
      <c r="H5" s="61">
        <f>'Caso 3 Zapateria I PM y Minoris'!D6</f>
        <v>1896840</v>
      </c>
      <c r="I5" s="66"/>
      <c r="J5" s="72" t="s">
        <v>90</v>
      </c>
      <c r="K5" s="73"/>
      <c r="L5" s="19">
        <v>269043</v>
      </c>
      <c r="M5" s="19">
        <f>'Caso 3 Zapateria I PM y Minoris'!B4</f>
        <v>296059</v>
      </c>
      <c r="N5" s="19">
        <f>'Caso 3 Zapateria I PM y Minoris'!B5</f>
        <v>374355</v>
      </c>
      <c r="O5" s="19">
        <f>'Caso 3 Zapateria I PM y Minoris'!B6</f>
        <v>451650</v>
      </c>
    </row>
    <row r="6" spans="2:15" x14ac:dyDescent="0.25">
      <c r="B6" s="60" t="s">
        <v>81</v>
      </c>
      <c r="C6" s="61">
        <v>164376</v>
      </c>
      <c r="D6" s="61">
        <v>175616</v>
      </c>
      <c r="E6" s="61">
        <v>241477</v>
      </c>
      <c r="F6" s="61">
        <v>269043</v>
      </c>
      <c r="G6" s="61">
        <v>296059</v>
      </c>
      <c r="H6" s="61">
        <v>374355</v>
      </c>
      <c r="I6" s="66"/>
      <c r="J6" s="74" t="s">
        <v>91</v>
      </c>
      <c r="K6" s="75"/>
      <c r="L6" s="20">
        <f>F7</f>
        <v>1229885</v>
      </c>
      <c r="M6" s="20">
        <f>'Caso 3 Zapateria I PM y Minoris'!C5</f>
        <v>1281772</v>
      </c>
      <c r="N6" s="20">
        <f>H7</f>
        <v>1483663</v>
      </c>
      <c r="O6" s="20">
        <f>'Caso 3 Zapateria I PM y Minoris'!V6</f>
        <v>1148301</v>
      </c>
    </row>
    <row r="7" spans="2:15" x14ac:dyDescent="0.25">
      <c r="B7" s="60" t="s">
        <v>82</v>
      </c>
      <c r="C7" s="61">
        <v>781071</v>
      </c>
      <c r="D7" s="61">
        <v>904047</v>
      </c>
      <c r="E7" s="61">
        <v>1206990</v>
      </c>
      <c r="F7" s="61">
        <v>1229885</v>
      </c>
      <c r="G7" s="61">
        <v>1290636</v>
      </c>
      <c r="H7" s="61">
        <v>1483663</v>
      </c>
      <c r="I7" s="66"/>
      <c r="J7" s="159" t="s">
        <v>104</v>
      </c>
      <c r="K7" s="160"/>
      <c r="L7" s="157">
        <f>L5+L6</f>
        <v>1498928</v>
      </c>
      <c r="M7" s="157">
        <f t="shared" ref="M7:O7" si="0">M5+M6</f>
        <v>1577831</v>
      </c>
      <c r="N7" s="157">
        <f t="shared" si="0"/>
        <v>1858018</v>
      </c>
      <c r="O7" s="157">
        <f t="shared" si="0"/>
        <v>1599951</v>
      </c>
    </row>
    <row r="8" spans="2:15" x14ac:dyDescent="0.25">
      <c r="B8" s="60" t="s">
        <v>83</v>
      </c>
      <c r="C8" s="61">
        <v>175616</v>
      </c>
      <c r="D8" s="61">
        <v>241477</v>
      </c>
      <c r="E8" s="61">
        <v>269043</v>
      </c>
      <c r="F8" s="61">
        <v>296059</v>
      </c>
      <c r="G8" s="61">
        <v>374355</v>
      </c>
      <c r="H8" s="61">
        <v>451650</v>
      </c>
      <c r="I8" s="66"/>
      <c r="J8" s="159"/>
      <c r="K8" s="160"/>
      <c r="L8" s="157"/>
      <c r="M8" s="157"/>
      <c r="N8" s="157"/>
      <c r="O8" s="157"/>
    </row>
    <row r="9" spans="2:15" x14ac:dyDescent="0.25">
      <c r="B9" s="60" t="s">
        <v>29</v>
      </c>
      <c r="C9" s="61">
        <f>C5-C6-C7+C8</f>
        <v>271270</v>
      </c>
      <c r="D9" s="61">
        <f t="shared" ref="D9:H9" si="1">D5-D6-D7+D8</f>
        <v>307013</v>
      </c>
      <c r="E9" s="61">
        <f t="shared" si="1"/>
        <v>393261</v>
      </c>
      <c r="F9" s="61">
        <f t="shared" si="1"/>
        <v>442103</v>
      </c>
      <c r="G9" s="61">
        <f t="shared" si="1"/>
        <v>458669</v>
      </c>
      <c r="H9" s="61">
        <f t="shared" si="1"/>
        <v>490472</v>
      </c>
      <c r="I9" s="66"/>
      <c r="J9" s="4"/>
      <c r="K9" s="6"/>
      <c r="L9" s="77"/>
      <c r="M9" s="77"/>
      <c r="N9" s="77"/>
      <c r="O9" s="77"/>
    </row>
    <row r="10" spans="2:15" x14ac:dyDescent="0.25">
      <c r="B10" s="60" t="s">
        <v>84</v>
      </c>
      <c r="C10" s="62">
        <f>C9/C5</f>
        <v>0.26056069487974748</v>
      </c>
      <c r="D10" s="62">
        <f t="shared" ref="D10:H10" si="2">D9/D5</f>
        <v>0.26808703116226962</v>
      </c>
      <c r="E10" s="62">
        <f t="shared" si="2"/>
        <v>0.25005706800789734</v>
      </c>
      <c r="F10" s="62">
        <f t="shared" si="2"/>
        <v>0.26876019774196763</v>
      </c>
      <c r="G10" s="62">
        <f t="shared" si="2"/>
        <v>0.27448625351509176</v>
      </c>
      <c r="H10" s="62">
        <f t="shared" si="2"/>
        <v>0.25857320596360261</v>
      </c>
      <c r="I10" s="57"/>
      <c r="J10" s="74" t="s">
        <v>92</v>
      </c>
      <c r="K10" s="6"/>
      <c r="L10" s="78">
        <f>C16</f>
        <v>0.74043173531669526</v>
      </c>
      <c r="M10" s="78">
        <f>D17</f>
        <v>0.7376985676959551</v>
      </c>
      <c r="N10" s="78">
        <f>E18</f>
        <v>0.73556549357834777</v>
      </c>
      <c r="O10" s="78">
        <f>F19</f>
        <v>0.73272678092644605</v>
      </c>
    </row>
    <row r="11" spans="2:15" x14ac:dyDescent="0.25">
      <c r="B11" s="60" t="s">
        <v>85</v>
      </c>
      <c r="C11" s="62">
        <f>1-C10</f>
        <v>0.73943930512025258</v>
      </c>
      <c r="D11" s="62">
        <f t="shared" ref="D11:H11" si="3">1-D10</f>
        <v>0.73191296883773038</v>
      </c>
      <c r="E11" s="62">
        <f t="shared" si="3"/>
        <v>0.74994293199210271</v>
      </c>
      <c r="F11" s="62">
        <f t="shared" si="3"/>
        <v>0.73123980225803242</v>
      </c>
      <c r="G11" s="62">
        <f t="shared" si="3"/>
        <v>0.72551374648490818</v>
      </c>
      <c r="H11" s="62">
        <f t="shared" si="3"/>
        <v>0.74142679403639744</v>
      </c>
      <c r="I11" s="57"/>
      <c r="J11" s="74" t="s">
        <v>38</v>
      </c>
      <c r="K11" s="6"/>
      <c r="L11" s="79">
        <f>1-L10</f>
        <v>0.25956826468330474</v>
      </c>
      <c r="M11" s="79">
        <f t="shared" ref="M11:O11" si="4">1-M10</f>
        <v>0.2623014323040449</v>
      </c>
      <c r="N11" s="79">
        <f t="shared" si="4"/>
        <v>0.26443450642165223</v>
      </c>
      <c r="O11" s="79">
        <f t="shared" si="4"/>
        <v>0.26727321907355395</v>
      </c>
    </row>
    <row r="12" spans="2:15" x14ac:dyDescent="0.25">
      <c r="J12" s="74" t="s">
        <v>93</v>
      </c>
      <c r="K12" s="6"/>
      <c r="L12" s="20">
        <f>'Caso 3 Zapateria I PM y Minoris'!D4</f>
        <v>1644972</v>
      </c>
      <c r="M12" s="20">
        <f>'Caso 3 Zapateria I PM y Minoris'!D5</f>
        <v>1671009</v>
      </c>
      <c r="N12" s="20">
        <f>'Caso 3 Zapateria I PM y Minoris'!D6</f>
        <v>1896840</v>
      </c>
      <c r="O12" s="20">
        <f>'Caso 3 Zapateria I PM y Minoris'!D7</f>
        <v>1698785</v>
      </c>
    </row>
    <row r="13" spans="2:15" ht="15.75" x14ac:dyDescent="0.25">
      <c r="B13" s="133" t="s">
        <v>86</v>
      </c>
      <c r="C13" s="133"/>
      <c r="D13" s="133"/>
      <c r="E13" s="133"/>
      <c r="F13" s="133"/>
      <c r="J13" s="74" t="s">
        <v>94</v>
      </c>
      <c r="K13" s="6"/>
      <c r="L13" s="80">
        <f>L10*L12</f>
        <v>1217989.4725073748</v>
      </c>
      <c r="M13" s="80">
        <f t="shared" ref="M13:O13" si="5">M10*M12</f>
        <v>1232700.9459070503</v>
      </c>
      <c r="N13" s="80">
        <f t="shared" si="5"/>
        <v>1395250.0508391531</v>
      </c>
      <c r="O13" s="80">
        <f t="shared" si="5"/>
        <v>1244745.2645361326</v>
      </c>
    </row>
    <row r="14" spans="2:15" x14ac:dyDescent="0.25">
      <c r="C14" s="64" t="s">
        <v>87</v>
      </c>
      <c r="D14" s="64" t="s">
        <v>87</v>
      </c>
      <c r="E14" s="64" t="s">
        <v>87</v>
      </c>
      <c r="F14" s="64" t="s">
        <v>87</v>
      </c>
      <c r="J14" s="76" t="s">
        <v>95</v>
      </c>
      <c r="K14" s="28"/>
      <c r="L14" s="81">
        <f>L7-L13</f>
        <v>280938.52749262517</v>
      </c>
      <c r="M14" s="81">
        <f t="shared" ref="M14:O14" si="6">M7-M13</f>
        <v>345130.05409294972</v>
      </c>
      <c r="N14" s="81">
        <f t="shared" si="6"/>
        <v>462767.94916084688</v>
      </c>
      <c r="O14" s="81">
        <f t="shared" si="6"/>
        <v>355205.73546386743</v>
      </c>
    </row>
    <row r="15" spans="2:15" x14ac:dyDescent="0.25">
      <c r="C15" s="26" t="s">
        <v>101</v>
      </c>
      <c r="D15" s="26" t="s">
        <v>102</v>
      </c>
      <c r="E15" s="26" t="s">
        <v>103</v>
      </c>
      <c r="F15" s="26" t="s">
        <v>88</v>
      </c>
      <c r="J15" s="161"/>
      <c r="K15" s="161"/>
    </row>
    <row r="16" spans="2:15" x14ac:dyDescent="0.25">
      <c r="B16" s="71">
        <v>2001</v>
      </c>
      <c r="C16" s="62">
        <f>AVERAGE(C11:E11)</f>
        <v>0.74043173531669526</v>
      </c>
      <c r="D16" s="62"/>
      <c r="E16" s="62"/>
      <c r="F16" s="62"/>
      <c r="J16" s="161"/>
      <c r="K16" s="161"/>
    </row>
    <row r="17" spans="2:10" x14ac:dyDescent="0.25">
      <c r="B17" s="71">
        <v>2002</v>
      </c>
      <c r="C17" s="62"/>
      <c r="D17" s="62">
        <f>AVERAGE(D11:F11)</f>
        <v>0.7376985676959551</v>
      </c>
      <c r="E17" s="62"/>
      <c r="F17" s="62"/>
      <c r="J17" s="67"/>
    </row>
    <row r="18" spans="2:10" x14ac:dyDescent="0.25">
      <c r="B18" s="71">
        <v>2003</v>
      </c>
      <c r="C18" s="62"/>
      <c r="D18" s="62"/>
      <c r="E18" s="62">
        <f>AVERAGE(E11:G11)</f>
        <v>0.73556549357834777</v>
      </c>
      <c r="F18" s="62"/>
      <c r="J18" s="67"/>
    </row>
    <row r="19" spans="2:10" x14ac:dyDescent="0.25">
      <c r="B19" s="71">
        <v>2004</v>
      </c>
      <c r="C19" s="62"/>
      <c r="D19" s="62"/>
      <c r="E19" s="62"/>
      <c r="F19" s="62">
        <f>AVERAGE(F11:H11)</f>
        <v>0.73272678092644605</v>
      </c>
    </row>
  </sheetData>
  <mergeCells count="9">
    <mergeCell ref="J15:K16"/>
    <mergeCell ref="L7:L8"/>
    <mergeCell ref="M7:M8"/>
    <mergeCell ref="N7:N8"/>
    <mergeCell ref="O7:O8"/>
    <mergeCell ref="J3:O3"/>
    <mergeCell ref="C3:H3"/>
    <mergeCell ref="B13:F13"/>
    <mergeCell ref="J7:K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3"/>
  <sheetViews>
    <sheetView workbookViewId="0">
      <selection activeCell="E31" sqref="E31"/>
    </sheetView>
  </sheetViews>
  <sheetFormatPr baseColWidth="10" defaultRowHeight="15" x14ac:dyDescent="0.25"/>
  <cols>
    <col min="2" max="2" width="16.42578125" customWidth="1"/>
    <col min="3" max="6" width="12" bestFit="1" customWidth="1"/>
    <col min="7" max="7" width="13.5703125" bestFit="1" customWidth="1"/>
    <col min="9" max="9" width="6.28515625" customWidth="1"/>
    <col min="10" max="10" width="25.42578125" customWidth="1"/>
    <col min="11" max="11" width="20.42578125" customWidth="1"/>
  </cols>
  <sheetData>
    <row r="2" spans="2:11" ht="15.75" x14ac:dyDescent="0.25">
      <c r="B2" s="133" t="s">
        <v>116</v>
      </c>
      <c r="C2" s="133"/>
      <c r="D2" s="133"/>
      <c r="E2" s="133"/>
      <c r="F2" s="133"/>
      <c r="G2" s="133"/>
    </row>
    <row r="3" spans="2:11" x14ac:dyDescent="0.25">
      <c r="C3" s="82">
        <v>2001</v>
      </c>
      <c r="D3" s="82">
        <v>2002</v>
      </c>
      <c r="E3" s="82">
        <v>2003</v>
      </c>
      <c r="F3" s="82">
        <v>2004</v>
      </c>
      <c r="G3" s="82" t="s">
        <v>112</v>
      </c>
      <c r="J3" s="84" t="s">
        <v>119</v>
      </c>
      <c r="K3" s="84" t="s">
        <v>117</v>
      </c>
    </row>
    <row r="4" spans="2:11" ht="15" customHeight="1" x14ac:dyDescent="0.25">
      <c r="B4" s="21" t="s">
        <v>109</v>
      </c>
      <c r="C4" s="21">
        <f>'Caso 3 Zapateria I PM y Minoris'!B4</f>
        <v>296059</v>
      </c>
      <c r="D4" s="21">
        <f>'Caso 3 Zapateria I PM y Minoris'!B5</f>
        <v>374355</v>
      </c>
      <c r="E4" s="21">
        <f>'Caso 3 Zapateria I PM y Minoris'!B6</f>
        <v>451650</v>
      </c>
      <c r="F4" s="21">
        <f>'Caso 3 Zapateria I PM y Minoris'!B7</f>
        <v>390851</v>
      </c>
      <c r="G4" s="21">
        <f>SUM(C4:F4)</f>
        <v>1512915</v>
      </c>
      <c r="I4" s="163" t="s">
        <v>110</v>
      </c>
      <c r="J4" s="19"/>
      <c r="K4" s="19"/>
    </row>
    <row r="5" spans="2:11" x14ac:dyDescent="0.25">
      <c r="B5" s="21" t="s">
        <v>110</v>
      </c>
      <c r="C5" s="21">
        <f>'Caso 3 Zapateria I PM y Minoris'!O14</f>
        <v>406147.03296853794</v>
      </c>
      <c r="D5" s="21">
        <f>'Caso 3 Zapateria I PM y Minoris'!R14</f>
        <v>435825.0295771737</v>
      </c>
      <c r="E5" s="21">
        <f>'Caso 3 Zapateria I PM y Minoris'!U14</f>
        <v>583635.11983091524</v>
      </c>
      <c r="F5" s="21">
        <f>'Caso 3 Zapateria I PM y Minoris'!X14</f>
        <v>461131.38903397718</v>
      </c>
      <c r="G5" s="21">
        <f>SUM(C5:F5)</f>
        <v>1886738.5714106041</v>
      </c>
      <c r="I5" s="164"/>
      <c r="J5" s="20"/>
      <c r="K5" s="20"/>
    </row>
    <row r="6" spans="2:11" x14ac:dyDescent="0.25">
      <c r="B6" s="21" t="s">
        <v>111</v>
      </c>
      <c r="C6" s="21">
        <f>'Caso 3 Zapateria II Marge.Br'!L14</f>
        <v>280938.52749262517</v>
      </c>
      <c r="D6" s="21">
        <f>'Caso 3 Zapateria II Marge.Br'!M14</f>
        <v>345130.05409294972</v>
      </c>
      <c r="E6" s="21">
        <f>'Caso 3 Zapateria II Marge.Br'!N14</f>
        <v>462767.94916084688</v>
      </c>
      <c r="F6" s="21">
        <f>'Caso 3 Zapateria II Marge.Br'!O14</f>
        <v>355205.73546386743</v>
      </c>
      <c r="G6" s="21">
        <f>SUM(C6:F6)</f>
        <v>1444042.2662102892</v>
      </c>
      <c r="I6" s="164"/>
      <c r="J6" s="20"/>
      <c r="K6" s="20"/>
    </row>
    <row r="7" spans="2:11" x14ac:dyDescent="0.25">
      <c r="B7" s="162" t="s">
        <v>113</v>
      </c>
      <c r="C7" s="19">
        <f>C4-C5</f>
        <v>-110088.03296853794</v>
      </c>
      <c r="D7" s="19">
        <f t="shared" ref="D7:G7" si="0">D4-D5</f>
        <v>-61470.0295771737</v>
      </c>
      <c r="E7" s="19">
        <f t="shared" si="0"/>
        <v>-131985.11983091524</v>
      </c>
      <c r="F7" s="19">
        <f t="shared" si="0"/>
        <v>-70280.389033977175</v>
      </c>
      <c r="G7" s="19">
        <f t="shared" si="0"/>
        <v>-373823.57141060405</v>
      </c>
      <c r="I7" s="164"/>
      <c r="J7" s="20"/>
      <c r="K7" s="20"/>
    </row>
    <row r="8" spans="2:11" ht="15" customHeight="1" x14ac:dyDescent="0.25">
      <c r="B8" s="98"/>
      <c r="C8" s="83">
        <f>C7/C4</f>
        <v>-0.3718449125631646</v>
      </c>
      <c r="D8" s="83">
        <f t="shared" ref="D8:G8" si="1">D7/D4</f>
        <v>-0.1642025071848211</v>
      </c>
      <c r="E8" s="83">
        <f t="shared" si="1"/>
        <v>-0.29222876083452948</v>
      </c>
      <c r="F8" s="83">
        <f t="shared" si="1"/>
        <v>-0.17981376287633183</v>
      </c>
      <c r="G8" s="83">
        <f t="shared" si="1"/>
        <v>-0.24708828414722839</v>
      </c>
      <c r="I8" s="165"/>
      <c r="J8" s="25"/>
      <c r="K8" s="25"/>
    </row>
    <row r="9" spans="2:11" ht="15" customHeight="1" x14ac:dyDescent="0.25">
      <c r="B9" s="162" t="s">
        <v>114</v>
      </c>
      <c r="C9" s="19">
        <f>C4-C6</f>
        <v>15120.472507374827</v>
      </c>
      <c r="D9" s="19">
        <f t="shared" ref="D9:G9" si="2">D4-D6</f>
        <v>29224.945907050278</v>
      </c>
      <c r="E9" s="19">
        <f t="shared" si="2"/>
        <v>-11117.949160846882</v>
      </c>
      <c r="F9" s="19">
        <f t="shared" si="2"/>
        <v>35645.26453613257</v>
      </c>
      <c r="G9" s="19">
        <f t="shared" si="2"/>
        <v>68872.733789710794</v>
      </c>
      <c r="I9" s="163" t="s">
        <v>118</v>
      </c>
      <c r="J9" s="19"/>
      <c r="K9" s="19"/>
    </row>
    <row r="10" spans="2:11" x14ac:dyDescent="0.25">
      <c r="B10" s="98"/>
      <c r="C10" s="83">
        <f>C9/C4</f>
        <v>5.1072497398744261E-2</v>
      </c>
      <c r="D10" s="83">
        <f t="shared" ref="D10:G10" si="3">D9/D4</f>
        <v>7.8067465125483237E-2</v>
      </c>
      <c r="E10" s="83">
        <f t="shared" si="3"/>
        <v>-2.4616293946301077E-2</v>
      </c>
      <c r="F10" s="83">
        <f t="shared" si="3"/>
        <v>9.1199113053651054E-2</v>
      </c>
      <c r="G10" s="83">
        <f t="shared" si="3"/>
        <v>4.5523201098350397E-2</v>
      </c>
      <c r="I10" s="164"/>
      <c r="J10" s="20"/>
      <c r="K10" s="20"/>
    </row>
    <row r="11" spans="2:11" x14ac:dyDescent="0.25">
      <c r="B11" s="162" t="s">
        <v>115</v>
      </c>
      <c r="C11" s="19">
        <f>C5-C6</f>
        <v>125208.50547591277</v>
      </c>
      <c r="D11" s="19">
        <f t="shared" ref="D11:G11" si="4">D5-D6</f>
        <v>90694.975484223978</v>
      </c>
      <c r="E11" s="19">
        <f t="shared" si="4"/>
        <v>120867.17067006836</v>
      </c>
      <c r="F11" s="19">
        <f t="shared" si="4"/>
        <v>105925.65357010975</v>
      </c>
      <c r="G11" s="19">
        <f t="shared" si="4"/>
        <v>442696.30520031485</v>
      </c>
      <c r="I11" s="164"/>
      <c r="J11" s="20"/>
      <c r="K11" s="20"/>
    </row>
    <row r="12" spans="2:11" x14ac:dyDescent="0.25">
      <c r="B12" s="98"/>
      <c r="C12" s="83">
        <f>C11/C5</f>
        <v>0.30828368869461126</v>
      </c>
      <c r="D12" s="83">
        <f t="shared" ref="D12:G12" si="5">D11/D5</f>
        <v>0.20809951087989123</v>
      </c>
      <c r="E12" s="83">
        <f t="shared" si="5"/>
        <v>0.20709372442337731</v>
      </c>
      <c r="F12" s="83">
        <f t="shared" si="5"/>
        <v>0.22970818315364108</v>
      </c>
      <c r="G12" s="83">
        <f t="shared" si="5"/>
        <v>0.23463574228481304</v>
      </c>
      <c r="I12" s="164"/>
      <c r="J12" s="20"/>
      <c r="K12" s="20"/>
    </row>
    <row r="13" spans="2:11" x14ac:dyDescent="0.25">
      <c r="I13" s="165"/>
      <c r="J13" s="25"/>
      <c r="K13" s="25"/>
    </row>
  </sheetData>
  <mergeCells count="6">
    <mergeCell ref="B2:G2"/>
    <mergeCell ref="B7:B8"/>
    <mergeCell ref="B9:B10"/>
    <mergeCell ref="B11:B12"/>
    <mergeCell ref="I9:I13"/>
    <mergeCell ref="I4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Caso 1</vt:lpstr>
      <vt:lpstr>Caso 2</vt:lpstr>
      <vt:lpstr>Caso 3 Zapateria I PM y Minoris</vt:lpstr>
      <vt:lpstr>Caso 3 Zapateria II Marge.Br</vt:lpstr>
      <vt:lpstr>Caso 3 Zapateria y III Compara</vt:lpstr>
    </vt:vector>
  </TitlesOfParts>
  <Company>ull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Jose Ignacio</cp:lastModifiedBy>
  <dcterms:created xsi:type="dcterms:W3CDTF">2007-12-07T11:37:53Z</dcterms:created>
  <dcterms:modified xsi:type="dcterms:W3CDTF">2014-11-06T09:32:08Z</dcterms:modified>
</cp:coreProperties>
</file>